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pand\Downloads\"/>
    </mc:Choice>
  </mc:AlternateContent>
  <xr:revisionPtr revIDLastSave="0" documentId="13_ncr:1_{8E30F33B-647B-4B16-A6EB-555EA0D8A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kulacja" sheetId="6" r:id="rId1"/>
    <sheet name="Budynek" sheetId="4" state="hidden" r:id="rId2"/>
    <sheet name="Taryfy Tauron 2026" sheetId="7" r:id="rId3"/>
    <sheet name="Paliwa" sheetId="8" r:id="rId4"/>
    <sheet name="Energia" sheetId="3" state="hidden" r:id="rId5"/>
    <sheet name="Tauron 2026" sheetId="1" state="hidden" r:id="rId6"/>
    <sheet name="PGNiG 2026" sheetId="5" state="hidden" r:id="rId7"/>
  </sheets>
  <definedNames>
    <definedName name="_xlnm.Print_Area" localSheetId="0">Kalkulacja!$A$1:$W$155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6" l="1"/>
  <c r="I47" i="6"/>
  <c r="E11" i="5"/>
  <c r="E12" i="5"/>
  <c r="E13" i="5"/>
  <c r="E14" i="5"/>
  <c r="E15" i="5"/>
  <c r="E16" i="5"/>
  <c r="E10" i="5"/>
  <c r="D15" i="4"/>
  <c r="D14" i="4"/>
  <c r="C15" i="4"/>
  <c r="C14" i="4"/>
  <c r="C5" i="4"/>
  <c r="C4" i="4"/>
  <c r="C3" i="4"/>
  <c r="C12" i="4" s="1"/>
  <c r="L102" i="6"/>
  <c r="E115" i="6"/>
  <c r="E114" i="6"/>
  <c r="E113" i="6"/>
  <c r="B113" i="6"/>
  <c r="E112" i="6"/>
  <c r="E111" i="6"/>
  <c r="E110" i="6"/>
  <c r="B110" i="6"/>
  <c r="R109" i="6"/>
  <c r="R108" i="6"/>
  <c r="E107" i="6"/>
  <c r="E106" i="6"/>
  <c r="B106" i="6"/>
  <c r="E105" i="6"/>
  <c r="E104" i="6"/>
  <c r="B104" i="6"/>
  <c r="E103" i="6"/>
  <c r="E102" i="6"/>
  <c r="B102" i="6"/>
  <c r="I90" i="6"/>
  <c r="M95" i="1"/>
  <c r="L95" i="1"/>
  <c r="G95" i="1"/>
  <c r="M76" i="1"/>
  <c r="L76" i="1"/>
  <c r="M91" i="1"/>
  <c r="L91" i="1"/>
  <c r="G91" i="1"/>
  <c r="M72" i="1"/>
  <c r="L72" i="1"/>
  <c r="M87" i="1"/>
  <c r="L87" i="1"/>
  <c r="G87" i="1"/>
  <c r="M68" i="1"/>
  <c r="L68" i="1"/>
  <c r="G76" i="1"/>
  <c r="G72" i="1"/>
  <c r="G68" i="1"/>
  <c r="M83" i="1"/>
  <c r="L83" i="1"/>
  <c r="G83" i="1"/>
  <c r="L64" i="1"/>
  <c r="M64" i="1"/>
  <c r="G64" i="1"/>
  <c r="U94" i="1"/>
  <c r="U90" i="1"/>
  <c r="U86" i="1"/>
  <c r="U82" i="1"/>
  <c r="M81" i="1"/>
  <c r="L81" i="1"/>
  <c r="K81" i="1"/>
  <c r="J81" i="1"/>
  <c r="I81" i="1"/>
  <c r="H81" i="1"/>
  <c r="G81" i="1"/>
  <c r="R38" i="3"/>
  <c r="S38" i="3"/>
  <c r="T38" i="3"/>
  <c r="U38" i="3"/>
  <c r="V38" i="3"/>
  <c r="W38" i="3"/>
  <c r="X38" i="3"/>
  <c r="Y38" i="3"/>
  <c r="Z38" i="3"/>
  <c r="AA38" i="3"/>
  <c r="AB38" i="3"/>
  <c r="Q38" i="3"/>
  <c r="O92" i="6"/>
  <c r="I79" i="6"/>
  <c r="I57" i="6"/>
  <c r="M35" i="6"/>
  <c r="I46" i="6"/>
  <c r="I35" i="6"/>
  <c r="L35" i="6" s="1"/>
  <c r="U75" i="1"/>
  <c r="U71" i="1"/>
  <c r="U67" i="1"/>
  <c r="I16" i="5"/>
  <c r="I15" i="5"/>
  <c r="I14" i="5"/>
  <c r="I13" i="5"/>
  <c r="I12" i="5"/>
  <c r="I11" i="5"/>
  <c r="I10" i="5"/>
  <c r="U63" i="1"/>
  <c r="M62" i="1"/>
  <c r="L62" i="1"/>
  <c r="K62" i="1"/>
  <c r="J62" i="1"/>
  <c r="I62" i="1"/>
  <c r="H62" i="1"/>
  <c r="G62" i="1"/>
  <c r="G59" i="1"/>
  <c r="G58" i="1"/>
  <c r="G57" i="1"/>
  <c r="E56" i="1"/>
  <c r="E55" i="1"/>
  <c r="F54" i="1"/>
  <c r="F53" i="1"/>
  <c r="D52" i="1"/>
  <c r="U29" i="3"/>
  <c r="X29" i="3"/>
  <c r="Q29" i="3"/>
  <c r="AB29" i="3"/>
  <c r="AD29" i="3"/>
  <c r="Z29" i="3"/>
  <c r="S29" i="3"/>
  <c r="G37" i="1"/>
  <c r="H37" i="1"/>
  <c r="I37" i="1"/>
  <c r="J37" i="1"/>
  <c r="F37" i="1"/>
  <c r="G35" i="1"/>
  <c r="H35" i="1"/>
  <c r="I35" i="1"/>
  <c r="J35" i="1"/>
  <c r="F35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7" i="1"/>
  <c r="P7" i="1"/>
  <c r="O7" i="1"/>
  <c r="N7" i="1"/>
  <c r="M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28" i="1"/>
  <c r="AD25" i="1"/>
  <c r="AD24" i="1"/>
  <c r="AD23" i="1"/>
  <c r="AD30" i="1"/>
  <c r="AD29" i="1"/>
  <c r="AD27" i="1"/>
  <c r="AD26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33" i="1"/>
  <c r="AC30" i="1"/>
  <c r="AC29" i="1"/>
  <c r="AC27" i="1"/>
  <c r="AC28" i="1"/>
  <c r="AC26" i="1"/>
  <c r="AC25" i="1"/>
  <c r="AC24" i="1"/>
  <c r="AC23" i="1"/>
  <c r="AC22" i="1"/>
  <c r="AC21" i="1"/>
  <c r="AC20" i="1"/>
  <c r="AC15" i="1"/>
  <c r="AC16" i="1"/>
  <c r="AC17" i="1"/>
  <c r="AC18" i="1"/>
  <c r="AC19" i="1"/>
  <c r="AC14" i="1"/>
  <c r="AC8" i="1"/>
  <c r="AC9" i="1"/>
  <c r="AC10" i="1"/>
  <c r="AC11" i="1"/>
  <c r="AC12" i="1"/>
  <c r="AC13" i="1"/>
  <c r="AC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33" i="1"/>
  <c r="AB30" i="1"/>
  <c r="AB29" i="1"/>
  <c r="AB28" i="1"/>
  <c r="AB27" i="1"/>
  <c r="AB26" i="1"/>
  <c r="AB25" i="1"/>
  <c r="AB24" i="1"/>
  <c r="AB23" i="1"/>
  <c r="AB22" i="1"/>
  <c r="AB21" i="1"/>
  <c r="AB20" i="1"/>
  <c r="AB14" i="1"/>
  <c r="AB15" i="1"/>
  <c r="AB16" i="1"/>
  <c r="AB17" i="1"/>
  <c r="AB18" i="1"/>
  <c r="AB19" i="1"/>
  <c r="AB13" i="1"/>
  <c r="AB8" i="1"/>
  <c r="AB9" i="1"/>
  <c r="AB10" i="1"/>
  <c r="AB11" i="1"/>
  <c r="AB12" i="1"/>
  <c r="AB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28" i="1"/>
  <c r="AA27" i="1"/>
  <c r="AA26" i="1"/>
  <c r="AA25" i="1"/>
  <c r="AA24" i="1"/>
  <c r="AA23" i="1"/>
  <c r="AA22" i="1"/>
  <c r="AA30" i="1"/>
  <c r="AA29" i="1"/>
  <c r="AA21" i="1"/>
  <c r="AA20" i="1"/>
  <c r="AA14" i="1"/>
  <c r="AA15" i="1"/>
  <c r="AA16" i="1"/>
  <c r="AA17" i="1"/>
  <c r="AA18" i="1"/>
  <c r="AA19" i="1"/>
  <c r="AA13" i="1"/>
  <c r="AA12" i="1"/>
  <c r="AA11" i="1"/>
  <c r="AA10" i="1"/>
  <c r="AA9" i="1"/>
  <c r="AA8" i="1"/>
  <c r="AA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7" i="1"/>
  <c r="C6" i="4" l="1"/>
  <c r="C7" i="4" s="1"/>
  <c r="C10" i="4"/>
  <c r="D84" i="1" s="1"/>
  <c r="D96" i="1" s="1"/>
  <c r="C8" i="4"/>
  <c r="M2" i="6"/>
  <c r="R103" i="6"/>
  <c r="R102" i="6"/>
  <c r="R105" i="6"/>
  <c r="R104" i="6"/>
  <c r="R106" i="6"/>
  <c r="R107" i="6"/>
  <c r="R112" i="6"/>
  <c r="R111" i="6"/>
  <c r="R110" i="6"/>
  <c r="R115" i="6"/>
  <c r="R114" i="6"/>
  <c r="R113" i="6"/>
  <c r="D65" i="1"/>
  <c r="C37" i="3"/>
  <c r="C39" i="3" s="1"/>
  <c r="D37" i="3"/>
  <c r="D39" i="3" s="1"/>
  <c r="E37" i="3"/>
  <c r="E39" i="3" s="1"/>
  <c r="F37" i="3"/>
  <c r="F39" i="3" s="1"/>
  <c r="G37" i="3"/>
  <c r="G39" i="3" s="1"/>
  <c r="I37" i="3"/>
  <c r="I39" i="3" s="1"/>
  <c r="J37" i="3"/>
  <c r="J39" i="3" s="1"/>
  <c r="K37" i="3"/>
  <c r="K39" i="3" s="1"/>
  <c r="L37" i="3"/>
  <c r="L39" i="3" s="1"/>
  <c r="M37" i="3"/>
  <c r="M39" i="3" s="1"/>
  <c r="B37" i="3"/>
  <c r="B39" i="3" s="1"/>
  <c r="D95" i="1"/>
  <c r="D91" i="1"/>
  <c r="D87" i="1"/>
  <c r="D83" i="1"/>
  <c r="D76" i="1"/>
  <c r="P76" i="1" s="1"/>
  <c r="D72" i="1"/>
  <c r="D68" i="1"/>
  <c r="D64" i="1"/>
  <c r="I67" i="6"/>
  <c r="R69" i="6"/>
  <c r="O69" i="6"/>
  <c r="L69" i="6"/>
  <c r="H76" i="1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4" i="3"/>
  <c r="E25" i="5" l="1"/>
  <c r="H37" i="3"/>
  <c r="H39" i="3" s="1"/>
  <c r="D88" i="1"/>
  <c r="D92" i="1"/>
  <c r="J92" i="1" s="1"/>
  <c r="P88" i="1"/>
  <c r="J88" i="1"/>
  <c r="I88" i="1"/>
  <c r="H88" i="1"/>
  <c r="P96" i="1"/>
  <c r="K96" i="1"/>
  <c r="J96" i="1"/>
  <c r="I96" i="1"/>
  <c r="H96" i="1"/>
  <c r="P64" i="1"/>
  <c r="K64" i="1"/>
  <c r="J64" i="1"/>
  <c r="I64" i="1"/>
  <c r="H64" i="1"/>
  <c r="D63" i="1"/>
  <c r="P68" i="1"/>
  <c r="H68" i="1"/>
  <c r="K69" i="1"/>
  <c r="K68" i="1"/>
  <c r="J68" i="1"/>
  <c r="I68" i="1"/>
  <c r="P72" i="1"/>
  <c r="K72" i="1"/>
  <c r="J72" i="1"/>
  <c r="I72" i="1"/>
  <c r="H72" i="1"/>
  <c r="U72" i="1" s="1"/>
  <c r="R70" i="6" s="1"/>
  <c r="R71" i="6" s="1"/>
  <c r="R72" i="6" s="1"/>
  <c r="K76" i="1"/>
  <c r="J76" i="1"/>
  <c r="I76" i="1"/>
  <c r="P83" i="1"/>
  <c r="K83" i="1"/>
  <c r="J83" i="1"/>
  <c r="I83" i="1"/>
  <c r="H83" i="1"/>
  <c r="D82" i="1"/>
  <c r="K88" i="1"/>
  <c r="P87" i="1"/>
  <c r="K87" i="1"/>
  <c r="J87" i="1"/>
  <c r="I87" i="1"/>
  <c r="H87" i="1"/>
  <c r="P91" i="1"/>
  <c r="K91" i="1"/>
  <c r="J91" i="1"/>
  <c r="I91" i="1"/>
  <c r="H91" i="1"/>
  <c r="P95" i="1"/>
  <c r="K95" i="1"/>
  <c r="J95" i="1"/>
  <c r="I95" i="1"/>
  <c r="H95" i="1"/>
  <c r="E27" i="5"/>
  <c r="E28" i="5" s="1"/>
  <c r="I56" i="6"/>
  <c r="I59" i="6" s="1"/>
  <c r="I45" i="6"/>
  <c r="I48" i="6" s="1"/>
  <c r="L34" i="6"/>
  <c r="L37" i="6" s="1"/>
  <c r="I34" i="6"/>
  <c r="I37" i="6" s="1"/>
  <c r="U23" i="6"/>
  <c r="U26" i="6" s="1"/>
  <c r="R23" i="6"/>
  <c r="R26" i="6" s="1"/>
  <c r="G27" i="5"/>
  <c r="G28" i="5" s="1"/>
  <c r="P65" i="1"/>
  <c r="K65" i="1"/>
  <c r="J65" i="1"/>
  <c r="I65" i="1"/>
  <c r="H65" i="1"/>
  <c r="D77" i="1"/>
  <c r="D73" i="1"/>
  <c r="D69" i="1"/>
  <c r="I78" i="6"/>
  <c r="I89" i="6"/>
  <c r="P84" i="1"/>
  <c r="K84" i="1"/>
  <c r="J84" i="1"/>
  <c r="I84" i="1"/>
  <c r="H84" i="1"/>
  <c r="D86" i="1"/>
  <c r="D90" i="1"/>
  <c r="D94" i="1"/>
  <c r="K92" i="1" l="1"/>
  <c r="P92" i="1"/>
  <c r="O65" i="1"/>
  <c r="U76" i="1"/>
  <c r="L92" i="6" s="1"/>
  <c r="O72" i="1"/>
  <c r="Q72" i="1" s="1"/>
  <c r="R72" i="1" s="1"/>
  <c r="U84" i="1"/>
  <c r="L93" i="6" s="1"/>
  <c r="L95" i="6" s="1"/>
  <c r="K113" i="6" s="1"/>
  <c r="Q113" i="6" s="1"/>
  <c r="I92" i="1"/>
  <c r="O76" i="1"/>
  <c r="Q76" i="1" s="1"/>
  <c r="O84" i="1"/>
  <c r="Q84" i="1" s="1"/>
  <c r="R84" i="1" s="1"/>
  <c r="H92" i="1"/>
  <c r="O96" i="1"/>
  <c r="Q96" i="1" s="1"/>
  <c r="U65" i="1"/>
  <c r="L81" i="6" s="1"/>
  <c r="L82" i="6" s="1"/>
  <c r="Q65" i="1"/>
  <c r="P69" i="1"/>
  <c r="J69" i="1"/>
  <c r="I69" i="1"/>
  <c r="H69" i="1"/>
  <c r="D67" i="1"/>
  <c r="P73" i="1"/>
  <c r="K73" i="1"/>
  <c r="J73" i="1"/>
  <c r="I73" i="1"/>
  <c r="H73" i="1"/>
  <c r="D71" i="1"/>
  <c r="K77" i="1"/>
  <c r="J77" i="1"/>
  <c r="I77" i="1"/>
  <c r="H77" i="1"/>
  <c r="P77" i="1"/>
  <c r="D75" i="1"/>
  <c r="I23" i="6"/>
  <c r="G29" i="5"/>
  <c r="R27" i="6"/>
  <c r="K104" i="6" s="1"/>
  <c r="Q104" i="6" s="1"/>
  <c r="H104" i="6"/>
  <c r="U27" i="6"/>
  <c r="K105" i="6" s="1"/>
  <c r="Q105" i="6" s="1"/>
  <c r="H105" i="6"/>
  <c r="H106" i="6"/>
  <c r="I38" i="6"/>
  <c r="K106" i="6" s="1"/>
  <c r="Q106" i="6" s="1"/>
  <c r="H107" i="6"/>
  <c r="L38" i="6"/>
  <c r="K107" i="6" s="1"/>
  <c r="Q107" i="6" s="1"/>
  <c r="I49" i="6"/>
  <c r="K108" i="6" s="1"/>
  <c r="Q108" i="6" s="1"/>
  <c r="H108" i="6"/>
  <c r="H109" i="6"/>
  <c r="I60" i="6"/>
  <c r="L23" i="6"/>
  <c r="E29" i="5"/>
  <c r="O95" i="1"/>
  <c r="Q95" i="1" s="1"/>
  <c r="U95" i="1"/>
  <c r="O91" i="1"/>
  <c r="Q91" i="1" s="1"/>
  <c r="U91" i="1"/>
  <c r="O87" i="1"/>
  <c r="Q87" i="1" s="1"/>
  <c r="U87" i="1"/>
  <c r="U83" i="1"/>
  <c r="O83" i="1"/>
  <c r="Q83" i="1" s="1"/>
  <c r="U68" i="1"/>
  <c r="O70" i="6" s="1"/>
  <c r="O71" i="6" s="1"/>
  <c r="O72" i="6" s="1"/>
  <c r="O68" i="1"/>
  <c r="Q68" i="1" s="1"/>
  <c r="O64" i="1"/>
  <c r="Q64" i="1" s="1"/>
  <c r="U64" i="1"/>
  <c r="L70" i="6" s="1"/>
  <c r="L71" i="6" s="1"/>
  <c r="L72" i="6" s="1"/>
  <c r="O88" i="1"/>
  <c r="Q88" i="1" s="1"/>
  <c r="U96" i="1"/>
  <c r="U88" i="1"/>
  <c r="O93" i="6" s="1"/>
  <c r="U92" i="1" l="1"/>
  <c r="R93" i="6" s="1"/>
  <c r="R95" i="6" s="1"/>
  <c r="K115" i="6" s="1"/>
  <c r="Q115" i="6" s="1"/>
  <c r="R92" i="6"/>
  <c r="S84" i="1"/>
  <c r="O92" i="1"/>
  <c r="Q92" i="1" s="1"/>
  <c r="S72" i="1"/>
  <c r="R76" i="1"/>
  <c r="S76" i="1"/>
  <c r="S65" i="1"/>
  <c r="R65" i="1"/>
  <c r="H110" i="6"/>
  <c r="L83" i="6"/>
  <c r="L84" i="6"/>
  <c r="K110" i="6" s="1"/>
  <c r="Q110" i="6" s="1"/>
  <c r="K109" i="6"/>
  <c r="Q109" i="6" s="1"/>
  <c r="H114" i="6"/>
  <c r="O94" i="6"/>
  <c r="O95" i="6"/>
  <c r="K114" i="6" s="1"/>
  <c r="Q114" i="6" s="1"/>
  <c r="H115" i="6"/>
  <c r="R94" i="6"/>
  <c r="R64" i="1"/>
  <c r="S64" i="1"/>
  <c r="Q63" i="1"/>
  <c r="R68" i="1"/>
  <c r="S68" i="1"/>
  <c r="S83" i="1"/>
  <c r="R83" i="1"/>
  <c r="Q82" i="1"/>
  <c r="S87" i="1"/>
  <c r="R87" i="1"/>
  <c r="S91" i="1"/>
  <c r="R91" i="1"/>
  <c r="S95" i="1"/>
  <c r="R95" i="1"/>
  <c r="L24" i="6"/>
  <c r="F32" i="5"/>
  <c r="E32" i="5"/>
  <c r="I24" i="6"/>
  <c r="F33" i="5"/>
  <c r="E33" i="5"/>
  <c r="O77" i="1"/>
  <c r="Q77" i="1" s="1"/>
  <c r="U77" i="1"/>
  <c r="U73" i="1"/>
  <c r="R81" i="6" s="1"/>
  <c r="R82" i="6" s="1"/>
  <c r="O73" i="1"/>
  <c r="Q73" i="1" s="1"/>
  <c r="O69" i="1"/>
  <c r="Q69" i="1" s="1"/>
  <c r="U69" i="1"/>
  <c r="O81" i="6" s="1"/>
  <c r="O82" i="6" s="1"/>
  <c r="H113" i="6"/>
  <c r="L94" i="6"/>
  <c r="S88" i="1"/>
  <c r="R88" i="1"/>
  <c r="Q86" i="1"/>
  <c r="S92" i="1"/>
  <c r="R92" i="1"/>
  <c r="Q90" i="1"/>
  <c r="S96" i="1"/>
  <c r="R96" i="1"/>
  <c r="Q94" i="1"/>
  <c r="G32" i="5" l="1"/>
  <c r="H32" i="5" s="1"/>
  <c r="I32" i="5" s="1"/>
  <c r="G33" i="5"/>
  <c r="H33" i="5" s="1"/>
  <c r="I33" i="5" s="1"/>
  <c r="H111" i="6"/>
  <c r="O84" i="6"/>
  <c r="K111" i="6" s="1"/>
  <c r="Q111" i="6" s="1"/>
  <c r="O83" i="6"/>
  <c r="S69" i="1"/>
  <c r="R69" i="1"/>
  <c r="Q67" i="1"/>
  <c r="Q71" i="1"/>
  <c r="S73" i="1"/>
  <c r="R73" i="1"/>
  <c r="H112" i="6"/>
  <c r="R84" i="6"/>
  <c r="K112" i="6" s="1"/>
  <c r="Q112" i="6" s="1"/>
  <c r="R83" i="6"/>
  <c r="S77" i="1"/>
  <c r="R77" i="1"/>
  <c r="Q75" i="1"/>
  <c r="S82" i="1"/>
  <c r="R82" i="1"/>
  <c r="S63" i="1"/>
  <c r="R63" i="1"/>
  <c r="S94" i="1"/>
  <c r="R94" i="1"/>
  <c r="S90" i="1"/>
  <c r="R90" i="1"/>
  <c r="S86" i="1"/>
  <c r="R86" i="1"/>
  <c r="I26" i="6" l="1"/>
  <c r="L26" i="6"/>
  <c r="L27" i="6"/>
  <c r="K103" i="6" s="1"/>
  <c r="Q103" i="6" s="1"/>
  <c r="H103" i="6"/>
  <c r="I27" i="6"/>
  <c r="K102" i="6" s="1"/>
  <c r="Q102" i="6" s="1"/>
  <c r="H102" i="6"/>
  <c r="S75" i="1"/>
  <c r="R75" i="1"/>
  <c r="S71" i="1"/>
  <c r="R71" i="1"/>
  <c r="S67" i="1"/>
  <c r="R67" i="1"/>
  <c r="W102" i="6" l="1" a="1"/>
  <c r="X103" i="6" l="1"/>
  <c r="X104" i="6"/>
  <c r="X105" i="6"/>
  <c r="X106" i="6"/>
  <c r="X107" i="6"/>
  <c r="X108" i="6"/>
  <c r="X109" i="6"/>
  <c r="X110" i="6"/>
  <c r="X111" i="6"/>
  <c r="X112" i="6"/>
  <c r="X113" i="6"/>
  <c r="X114" i="6"/>
  <c r="X115" i="6"/>
  <c r="W102" i="6"/>
  <c r="X102" i="6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<sst xmlns="http://schemas.openxmlformats.org/spreadsheetml/2006/main" count="622" uniqueCount="232">
  <si>
    <r>
      <rPr>
        <b/>
        <sz val="11"/>
        <color rgb="FF000000"/>
        <rFont val="Aptos Narrow"/>
        <scheme val="minor"/>
      </rPr>
      <t xml:space="preserve">Kalkulator kosztów ogrzewania budynku </t>
    </r>
    <r>
      <rPr>
        <b/>
        <sz val="11"/>
        <color rgb="FFFF0000"/>
        <rFont val="Aptos Narrow"/>
        <scheme val="minor"/>
      </rPr>
      <t>2026</t>
    </r>
  </si>
  <si>
    <t>Moc obliczeniowa</t>
  </si>
  <si>
    <t>kW</t>
  </si>
  <si>
    <t>Autor: PanD</t>
  </si>
  <si>
    <t>Powierzchnia budynku</t>
  </si>
  <si>
    <t>m2</t>
  </si>
  <si>
    <t>Liczba mieszkańców</t>
  </si>
  <si>
    <t>osób</t>
  </si>
  <si>
    <t>Standard wykonania budynku</t>
  </si>
  <si>
    <t>kWh/m2/rok</t>
  </si>
  <si>
    <t>[kWh/m2/rok]</t>
  </si>
  <si>
    <t>Dom energooszczędny</t>
  </si>
  <si>
    <t>50-60</t>
  </si>
  <si>
    <t>Dom budowany obecnie WT2021</t>
  </si>
  <si>
    <t>70-80</t>
  </si>
  <si>
    <t>Dom istniejący, dobra izolacja cieplna</t>
  </si>
  <si>
    <t>90-120</t>
  </si>
  <si>
    <t>Dom istniejący, słaba izolacja cieplna</t>
  </si>
  <si>
    <t>130-160</t>
  </si>
  <si>
    <t>Dom istniejący, bez izolacji cieplnej</t>
  </si>
  <si>
    <t>&gt; 170</t>
  </si>
  <si>
    <t>Gaz ziemny (E)</t>
  </si>
  <si>
    <t>Gaz płynny</t>
  </si>
  <si>
    <t>Kocioł tradycyjny</t>
  </si>
  <si>
    <t>Kocioł kondensacyjny</t>
  </si>
  <si>
    <t>Zużycie paliwa</t>
  </si>
  <si>
    <t>m3 / rok</t>
  </si>
  <si>
    <t>litrów / rok</t>
  </si>
  <si>
    <t>Taryfa</t>
  </si>
  <si>
    <t>Efektywność roczna</t>
  </si>
  <si>
    <t>Koszty roczne</t>
  </si>
  <si>
    <t>zł brutto</t>
  </si>
  <si>
    <t>Koszty kWh ciepła</t>
  </si>
  <si>
    <t>zł / kWh</t>
  </si>
  <si>
    <t>Olej opałowy</t>
  </si>
  <si>
    <t>Cena paliwa</t>
  </si>
  <si>
    <t>zł / litr</t>
  </si>
  <si>
    <t>zł/kWh</t>
  </si>
  <si>
    <t>Drewno : Pellet</t>
  </si>
  <si>
    <t>kg / rok</t>
  </si>
  <si>
    <t>zł / tona</t>
  </si>
  <si>
    <t>Drewno : Zgazowanie</t>
  </si>
  <si>
    <t>m.p. / rok</t>
  </si>
  <si>
    <t>zł / m.p.</t>
  </si>
  <si>
    <t>Energia elektryczna</t>
  </si>
  <si>
    <t>Cele gospodarcze</t>
  </si>
  <si>
    <t>G11</t>
  </si>
  <si>
    <t>G12</t>
  </si>
  <si>
    <t>G12w</t>
  </si>
  <si>
    <t>Zużycie energii</t>
  </si>
  <si>
    <t>kWh / rok</t>
  </si>
  <si>
    <t>Opłaty stałe</t>
  </si>
  <si>
    <t>zł / rok</t>
  </si>
  <si>
    <t>Opłaty zmienne</t>
  </si>
  <si>
    <t>Koszty kWh energii elektrycznej</t>
  </si>
  <si>
    <r>
      <rPr>
        <sz val="10"/>
        <color rgb="FF747474"/>
        <rFont val="Aptos Narrow"/>
        <scheme val="minor"/>
      </rPr>
      <t>zł / kWh</t>
    </r>
    <r>
      <rPr>
        <sz val="10"/>
        <color rgb="FF0C769E"/>
        <rFont val="Aptos Narrow"/>
        <scheme val="minor"/>
      </rPr>
      <t>(e)</t>
    </r>
  </si>
  <si>
    <t>Pompa ciepła grunt / woda</t>
  </si>
  <si>
    <t>Ogrzewanie i ciepła woda</t>
  </si>
  <si>
    <t>Efektywność (SCOP)</t>
  </si>
  <si>
    <t>CO / CWU</t>
  </si>
  <si>
    <t>uwzględnione w "Cele gospodarcze"</t>
  </si>
  <si>
    <r>
      <rPr>
        <sz val="10"/>
        <color rgb="FF747474"/>
        <rFont val="Aptos Narrow"/>
        <scheme val="minor"/>
      </rPr>
      <t>zł / kWh</t>
    </r>
    <r>
      <rPr>
        <sz val="10"/>
        <color rgb="FFFF0000"/>
        <rFont val="Aptos Narrow"/>
        <scheme val="minor"/>
      </rPr>
      <t>(t)</t>
    </r>
  </si>
  <si>
    <t>Pompa ciepła powietrze / woda</t>
  </si>
  <si>
    <t>Zestawienie kosztów ogrzewania budynku</t>
  </si>
  <si>
    <t>Ceny jednostki ciepła</t>
  </si>
  <si>
    <t>brutto</t>
  </si>
  <si>
    <t>Drewno</t>
  </si>
  <si>
    <t>Pellet</t>
  </si>
  <si>
    <t>&gt;</t>
  </si>
  <si>
    <t>Zgazowanie</t>
  </si>
  <si>
    <t>Ilość mieszkańców</t>
  </si>
  <si>
    <t>Powierzchnia</t>
  </si>
  <si>
    <t>Standard</t>
  </si>
  <si>
    <t>kWh/m2*rok</t>
  </si>
  <si>
    <t>Zapotrzebowanie CO</t>
  </si>
  <si>
    <t>kWh/rok</t>
  </si>
  <si>
    <t>Wskaźnik obliczeniowy</t>
  </si>
  <si>
    <t>W/K</t>
  </si>
  <si>
    <t>Zapotrzebowanie CWU</t>
  </si>
  <si>
    <t>Zapotrzebowanie na energię elektryczną</t>
  </si>
  <si>
    <t>SCOP A2W CO / CWU</t>
  </si>
  <si>
    <t>SCOP B2W CO / CWU</t>
  </si>
  <si>
    <t>ENERGIA ELEKTRYCZNA</t>
  </si>
  <si>
    <r>
      <rPr>
        <sz val="11"/>
        <color rgb="FF000000"/>
        <rFont val="Aptos Narrow"/>
        <scheme val="minor"/>
      </rPr>
      <t xml:space="preserve">Ceny energii </t>
    </r>
    <r>
      <rPr>
        <b/>
        <sz val="11"/>
        <color rgb="FF000000"/>
        <rFont val="Aptos Narrow"/>
        <scheme val="minor"/>
      </rPr>
      <t xml:space="preserve">netto </t>
    </r>
    <r>
      <rPr>
        <sz val="11"/>
        <color rgb="FF000000"/>
        <rFont val="Aptos Narrow"/>
        <scheme val="minor"/>
      </rPr>
      <t>(bez VAT)</t>
    </r>
  </si>
  <si>
    <r>
      <rPr>
        <sz val="11"/>
        <color rgb="FF000000"/>
        <rFont val="Aptos Narrow"/>
        <scheme val="minor"/>
      </rPr>
      <t xml:space="preserve">Ceny paliw </t>
    </r>
    <r>
      <rPr>
        <b/>
        <sz val="11"/>
        <color rgb="FF000000"/>
        <rFont val="Aptos Narrow"/>
        <scheme val="minor"/>
      </rPr>
      <t xml:space="preserve">brutto </t>
    </r>
    <r>
      <rPr>
        <sz val="11"/>
        <color rgb="FF000000"/>
        <rFont val="Aptos Narrow"/>
        <scheme val="minor"/>
      </rPr>
      <t>(z VAT)</t>
    </r>
  </si>
  <si>
    <t>Wartości mają wpływ na szacunki kosztów w zakładce "Kalkulacja"</t>
  </si>
  <si>
    <t>Wartość energetyczna</t>
  </si>
  <si>
    <t>kWh / litr</t>
  </si>
  <si>
    <t>kWh / kg</t>
  </si>
  <si>
    <t>+ koszty wysyłki (np. 230 zł / paleta)</t>
  </si>
  <si>
    <t>%</t>
  </si>
  <si>
    <t>kWh / m.p.</t>
  </si>
  <si>
    <t>Pompa ciepła</t>
  </si>
  <si>
    <t>Efektywność roczna CO</t>
  </si>
  <si>
    <t>Grunt / woda</t>
  </si>
  <si>
    <t>Efektywność roczna CWU</t>
  </si>
  <si>
    <t>Powietrze / woda</t>
  </si>
  <si>
    <t>Ogrzewanie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</si>
  <si>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</si>
  <si>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</si>
  <si>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</si>
  <si>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</si>
  <si>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</si>
  <si>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</si>
  <si>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</si>
  <si>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</si>
  <si>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</si>
  <si>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</si>
  <si>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</si>
  <si>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</si>
  <si>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CWU</t>
  </si>
  <si>
    <t>G13</t>
  </si>
  <si>
    <t>Całodobowa</t>
  </si>
  <si>
    <t>Szcztytowa</t>
  </si>
  <si>
    <t>Pozaszczytowa</t>
  </si>
  <si>
    <t>Dzienna</t>
  </si>
  <si>
    <t>Nocna</t>
  </si>
  <si>
    <t>W szczycie przedpołudniowym</t>
  </si>
  <si>
    <t>W szczycie popołudniowym</t>
  </si>
  <si>
    <t>W pozostałych godzinach doby</t>
  </si>
  <si>
    <t>DYSTRYBUCJA</t>
  </si>
  <si>
    <t>ENERGIA</t>
  </si>
  <si>
    <t>IX-IX</t>
  </si>
  <si>
    <t>X-III</t>
  </si>
  <si>
    <t>G14dynamic</t>
  </si>
  <si>
    <t>S(SVn)</t>
  </si>
  <si>
    <t>Składnik stały stawki sieciowej</t>
  </si>
  <si>
    <t>zł/miesiąc</t>
  </si>
  <si>
    <t>Poniedziałek-Piątek</t>
  </si>
  <si>
    <t>Poniedziałek</t>
  </si>
  <si>
    <t>IV-IX</t>
  </si>
  <si>
    <t>P(i)</t>
  </si>
  <si>
    <t>Liczba miesięcy</t>
  </si>
  <si>
    <t>ilość miesięcy</t>
  </si>
  <si>
    <t>S(ZVnm)</t>
  </si>
  <si>
    <t>Składnik zmienny stawki sieciowej</t>
  </si>
  <si>
    <t>E(oim)</t>
  </si>
  <si>
    <t>Ilość energii zużytej</t>
  </si>
  <si>
    <t>kWh</t>
  </si>
  <si>
    <t>x</t>
  </si>
  <si>
    <t>Składnik zmienny stawki sieciowej dzień</t>
  </si>
  <si>
    <t>E(okm)</t>
  </si>
  <si>
    <t>Składnik zmienny stawki sieciowej noc</t>
  </si>
  <si>
    <t>Składnik zmienny stawki sieciowej szczyt</t>
  </si>
  <si>
    <t>Składnik zmienny stawki sieciowej poza-szczyt</t>
  </si>
  <si>
    <t>Składnik zmienny stawki sieciowej szczyt przedpołudniowy</t>
  </si>
  <si>
    <t>Składnik zmienny stawki sieciowej szczyt podpołudniowy</t>
  </si>
  <si>
    <t>Składnik zmienny stawki sieciowej pozostałe godziny doby</t>
  </si>
  <si>
    <t>Składnik zmienny stawki sieciowej - Zalecane użytkowanie S1</t>
  </si>
  <si>
    <t>Składnik zmienny stawki sieciowej - Normalne użytkowanie S2</t>
  </si>
  <si>
    <t>`</t>
  </si>
  <si>
    <t>Składnik zmienny stawki sieciowej - Zalecane oszczędzanie S3</t>
  </si>
  <si>
    <t>Składnik zmienny stawki sieciowej - Wymagane ograniczenia S4</t>
  </si>
  <si>
    <t>S(oSJ)</t>
  </si>
  <si>
    <t>stawka jakosciowa</t>
  </si>
  <si>
    <t>Sobota-Niedziela</t>
  </si>
  <si>
    <t>E(ok)</t>
  </si>
  <si>
    <t>S(op)</t>
  </si>
  <si>
    <t>stawka opłaty przejściowej</t>
  </si>
  <si>
    <t>S(OZE)</t>
  </si>
  <si>
    <t>stawka OZE</t>
  </si>
  <si>
    <t>E(okOZE)</t>
  </si>
  <si>
    <t>S(ok)</t>
  </si>
  <si>
    <t>stawka opłaty kogeneracyjnej</t>
  </si>
  <si>
    <t>E(okKOG)</t>
  </si>
  <si>
    <t>ilość energii zużytej</t>
  </si>
  <si>
    <t>S(om)</t>
  </si>
  <si>
    <t>Stawka opłaty mocowej</t>
  </si>
  <si>
    <t>E(om)</t>
  </si>
  <si>
    <t>ilość energii pobranej z sieci</t>
  </si>
  <si>
    <t>O(a)</t>
  </si>
  <si>
    <t>opłata abonamentowa</t>
  </si>
  <si>
    <r>
      <t xml:space="preserve">= S(SVn)*P(i) + S(ZVnm)*E(oim) + </t>
    </r>
    <r>
      <rPr>
        <sz val="10"/>
        <color rgb="FF000000"/>
        <rFont val="Aptos Narrow"/>
        <scheme val="minor"/>
      </rPr>
      <t>∑</t>
    </r>
    <r>
      <rPr>
        <sz val="10"/>
        <color theme="1"/>
        <rFont val="Aptos Narrow"/>
        <scheme val="minor"/>
      </rPr>
      <t xml:space="preserve"> [ S(oSJ)*E(ok) + S(op)*P(i) + O(a)*P(i) ] + S(OZE)*E(okOZE) + S(ok)*E(okOKG) + S(om)*E(om)</t>
    </r>
  </si>
  <si>
    <t>Opłata mocowa</t>
  </si>
  <si>
    <t>do 1200 kWh</t>
  </si>
  <si>
    <t>10.31 zł</t>
  </si>
  <si>
    <t>po 1200 kWh - 2800 kWh</t>
  </si>
  <si>
    <t>17.18 zł</t>
  </si>
  <si>
    <t>powyżej 2800 kWh</t>
  </si>
  <si>
    <t>24.08 zł</t>
  </si>
  <si>
    <t>SOLANKA/WODA</t>
  </si>
  <si>
    <t>Dystrybucja</t>
  </si>
  <si>
    <t>Dstrybucja</t>
  </si>
  <si>
    <t>Sprzedaż</t>
  </si>
  <si>
    <t>Suma</t>
  </si>
  <si>
    <t>Cena energii zł / 1 kWh</t>
  </si>
  <si>
    <t>netto</t>
  </si>
  <si>
    <t>CAŁOŚĆ</t>
  </si>
  <si>
    <t>OPŁATY STAŁE</t>
  </si>
  <si>
    <t>BUDYNEK</t>
  </si>
  <si>
    <t>CELE GOSPODARCZE</t>
  </si>
  <si>
    <t>POMPA CIEPŁA (CO+CWU)</t>
  </si>
  <si>
    <t>POWIETRZE/WODA</t>
  </si>
  <si>
    <t>OBOWIĄZUJE DO 30.06.2026 --&gt; potem nowe taryfy</t>
  </si>
  <si>
    <t>PALIWO</t>
  </si>
  <si>
    <t>LINK</t>
  </si>
  <si>
    <t>Grupa taryfowa</t>
  </si>
  <si>
    <t>Roczna ilość paliwa</t>
  </si>
  <si>
    <t>Ilość rozliczeń</t>
  </si>
  <si>
    <t>Ceny 12/2025 na 2026</t>
  </si>
  <si>
    <t>Ilość odczytów</t>
  </si>
  <si>
    <t>Stawka opłaty stałej</t>
  </si>
  <si>
    <t>Stawka opłaty zmiennej</t>
  </si>
  <si>
    <t>Paliwo</t>
  </si>
  <si>
    <t>Abonament</t>
  </si>
  <si>
    <t>[m3/rok]</t>
  </si>
  <si>
    <t>[i/rok]</t>
  </si>
  <si>
    <t>[zł/kWh] netto</t>
  </si>
  <si>
    <t>[zł/m-c]</t>
  </si>
  <si>
    <t>W-1.1</t>
  </si>
  <si>
    <t>&lt;300</t>
  </si>
  <si>
    <t>W-1.2</t>
  </si>
  <si>
    <t>W-2.1</t>
  </si>
  <si>
    <t>300 &lt; a &lt; 1200</t>
  </si>
  <si>
    <t>W-2.2</t>
  </si>
  <si>
    <t>W-3.6</t>
  </si>
  <si>
    <t>1200 &lt; a &lt; 8000</t>
  </si>
  <si>
    <t>W-3.9</t>
  </si>
  <si>
    <t>W-4</t>
  </si>
  <si>
    <t>&gt; 8000</t>
  </si>
  <si>
    <t>Wsp. konwersji Wk</t>
  </si>
  <si>
    <t>grupa E</t>
  </si>
  <si>
    <t>średnia arytmetyczna z 06-2023</t>
  </si>
  <si>
    <t>[kWh/m3]</t>
  </si>
  <si>
    <t>https://www.psgaz.pl/mapa-orcs-i-jakosc-gazu</t>
  </si>
  <si>
    <t>Zapotrzebowanie na CO+CWU</t>
  </si>
  <si>
    <t>m3/rok</t>
  </si>
  <si>
    <t>KOSZTY</t>
  </si>
  <si>
    <t>Suma Netto</t>
  </si>
  <si>
    <t>Suma Brutto</t>
  </si>
  <si>
    <t>zł / 1 kWh ciepła</t>
  </si>
  <si>
    <t>Kocioł kodensacyjny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</si>
</sst>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[$zł-415]_-;\-* #,##0.00\ [$zł-415]_-;_-* &quot;-&quot;??\ [$zł-415]_-;_-@_-"/>
    <numFmt numFmtId="165" formatCode="_-* #,##0.0000\ [$zł-415]_-;\-* #,##0.0000\ [$zł-415]_-;_-* &quot;-&quot;????\ [$zł-415]_-;_-@_-"/>
    <numFmt numFmtId="166" formatCode="_-* #,##0\ [$zł-415]_-;\-* #,##0\ [$zł-415]_-;_-* &quot;-&quot;????\ [$zł-415]_-;_-@_-"/>
    <numFmt numFmtId="167" formatCode="_-* #,##0.00000\ [$zł-415]_-;\-* #,##0.00000\ [$zł-415]_-;_-* &quot;-&quot;?????\ [$zł-415]_-;_-@_-"/>
    <numFmt numFmtId="168" formatCode="_-* #,##0.00\ [$zł-415]_-;\-* #,##0.00\ [$zł-415]_-;_-* &quot;-&quot;????\ [$zł-415]_-;_-@_-"/>
    <numFmt numFmtId="169" formatCode="_-* #,##0\ [$zł-415]_-;\-* #,##0\ [$zł-415]_-;_-* &quot;-&quot;??\ [$zł-415]_-;_-@_-"/>
    <numFmt numFmtId="170" formatCode="0.0"/>
    <numFmt numFmtId="171" formatCode="0.000"/>
    <numFmt numFmtId="172" formatCode="#,##0\ [$zł-415]"/>
  </numFmts>
  <fonts count="54" x14ac:knownFonts="1">
    <font>
      <sz val="11"/>
      <color theme="1"/>
      <name val="Aptos Narrow"/>
      <family val="2"/>
      <scheme val="minor"/>
    </font>
    <font>
      <sz val="10"/>
      <color theme="1"/>
      <name val="Aptos Narrow"/>
      <scheme val="minor"/>
    </font>
    <font>
      <sz val="10"/>
      <color rgb="FF000000"/>
      <name val="Aptos Narrow"/>
      <scheme val="minor"/>
    </font>
    <font>
      <b/>
      <sz val="10"/>
      <color theme="1"/>
      <name val="Aptos Narrow"/>
      <scheme val="minor"/>
    </font>
    <font>
      <sz val="11"/>
      <color rgb="FF000000"/>
      <name val="Calibri"/>
      <family val="2"/>
      <charset val="238"/>
    </font>
    <font>
      <sz val="11"/>
      <color theme="1" tint="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FF0000"/>
      <name val="Aptos Narrow"/>
      <scheme val="minor"/>
    </font>
    <font>
      <u/>
      <sz val="10"/>
      <color theme="1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8"/>
      <color theme="1"/>
      <name val="Aptos Narrow"/>
      <family val="2"/>
      <scheme val="minor"/>
    </font>
    <font>
      <sz val="8"/>
      <color rgb="FF0070C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 tint="-4.9989318521683403E-2"/>
      <name val="Aptos Narrow"/>
      <scheme val="minor"/>
    </font>
    <font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656C7F"/>
      <name val="Aptos Narrow"/>
      <family val="2"/>
      <scheme val="minor"/>
    </font>
    <font>
      <b/>
      <sz val="10"/>
      <color theme="0" tint="-0.14999847407452621"/>
      <name val="Aptos Narrow"/>
      <family val="2"/>
      <scheme val="minor"/>
    </font>
    <font>
      <sz val="11"/>
      <color theme="0" tint="-0.14999847407452621"/>
      <name val="Aptos Narrow"/>
      <scheme val="minor"/>
    </font>
    <font>
      <sz val="10"/>
      <color theme="0" tint="-0.14999847407452621"/>
      <name val="Aptos Narrow"/>
      <family val="2"/>
      <scheme val="minor"/>
    </font>
    <font>
      <sz val="10"/>
      <color theme="2" tint="-0.499984740745262"/>
      <name val="Aptos Narrow"/>
      <family val="2"/>
      <scheme val="minor"/>
    </font>
    <font>
      <sz val="9"/>
      <color theme="2" tint="-0.499984740745262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sz val="8"/>
      <color theme="2" tint="-0.499984740745262"/>
      <name val="Aptos Narrow"/>
      <family val="2"/>
      <scheme val="minor"/>
    </font>
    <font>
      <b/>
      <sz val="8"/>
      <color theme="2" tint="-0.499984740745262"/>
      <name val="Aptos Narrow"/>
      <family val="2"/>
      <scheme val="minor"/>
    </font>
    <font>
      <b/>
      <sz val="11"/>
      <color rgb="FF3E3F54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rgb="FFFF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2" tint="-0.499984740745262"/>
      <name val="Aptos Narrow"/>
      <scheme val="minor"/>
    </font>
    <font>
      <sz val="10"/>
      <color theme="2" tint="-0.499984740745262"/>
      <name val="Aptos Narrow"/>
      <scheme val="minor"/>
    </font>
    <font>
      <b/>
      <sz val="14"/>
      <color theme="1"/>
      <name val="Aptos Narrow"/>
      <scheme val="minor"/>
    </font>
    <font>
      <sz val="11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1"/>
      <color rgb="FF0070C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747474"/>
      <name val="Aptos Narrow"/>
      <scheme val="minor"/>
    </font>
    <font>
      <sz val="10"/>
      <color rgb="FFFF0000"/>
      <name val="Aptos Narrow"/>
      <scheme val="minor"/>
    </font>
    <font>
      <sz val="10"/>
      <color rgb="FF0C769E"/>
      <name val="Aptos Narrow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scheme val="minor"/>
    </font>
    <font>
      <sz val="14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14"/>
      <color rgb="FF656C7F"/>
      <name val="Aptos Narrow"/>
      <scheme val="minor"/>
    </font>
    <font>
      <sz val="11"/>
      <color theme="0"/>
      <name val="Aptos Narrow"/>
      <scheme val="minor"/>
    </font>
    <font>
      <b/>
      <sz val="11"/>
      <color rgb="FFFF0000"/>
      <name val="Aptos Narrow"/>
      <family val="2"/>
      <scheme val="minor"/>
    </font>
    <font>
      <b/>
      <sz val="14"/>
      <color rgb="FF656C7F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6C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readingOrder="1"/>
    </xf>
    <xf numFmtId="0" fontId="1" fillId="0" borderId="1" xfId="0" applyFont="1" applyBorder="1"/>
    <xf numFmtId="0" fontId="1" fillId="0" borderId="0" xfId="0" applyFont="1" applyAlignment="1">
      <alignment readingOrder="1"/>
    </xf>
    <xf numFmtId="0" fontId="1" fillId="0" borderId="0" xfId="0" quotePrefix="1" applyFont="1" applyAlignment="1">
      <alignment readingOrder="1"/>
    </xf>
    <xf numFmtId="0" fontId="1" fillId="0" borderId="1" xfId="0" applyFont="1" applyBorder="1" applyAlignment="1">
      <alignment readingOrder="1"/>
    </xf>
    <xf numFmtId="164" fontId="1" fillId="0" borderId="1" xfId="0" applyNumberFormat="1" applyFont="1" applyBorder="1"/>
    <xf numFmtId="165" fontId="1" fillId="0" borderId="1" xfId="0" applyNumberFormat="1" applyFont="1" applyBorder="1"/>
    <xf numFmtId="20" fontId="1" fillId="0" borderId="0" xfId="0" applyNumberFormat="1" applyFont="1"/>
    <xf numFmtId="165" fontId="1" fillId="0" borderId="0" xfId="0" applyNumberFormat="1" applyFont="1"/>
    <xf numFmtId="0" fontId="1" fillId="4" borderId="1" xfId="0" applyFont="1" applyFill="1" applyBorder="1" applyAlignment="1">
      <alignment readingOrder="1"/>
    </xf>
    <xf numFmtId="0" fontId="1" fillId="5" borderId="1" xfId="0" applyFont="1" applyFill="1" applyBorder="1" applyAlignment="1">
      <alignment readingOrder="1"/>
    </xf>
    <xf numFmtId="0" fontId="1" fillId="6" borderId="1" xfId="0" applyFont="1" applyFill="1" applyBorder="1" applyAlignment="1">
      <alignment readingOrder="1"/>
    </xf>
    <xf numFmtId="0" fontId="1" fillId="7" borderId="1" xfId="0" applyFont="1" applyFill="1" applyBorder="1" applyAlignment="1">
      <alignment readingOrder="1"/>
    </xf>
    <xf numFmtId="0" fontId="1" fillId="8" borderId="1" xfId="0" applyFont="1" applyFill="1" applyBorder="1" applyAlignment="1">
      <alignment readingOrder="1"/>
    </xf>
    <xf numFmtId="0" fontId="1" fillId="9" borderId="1" xfId="0" applyFont="1" applyFill="1" applyBorder="1" applyAlignment="1">
      <alignment readingOrder="1"/>
    </xf>
    <xf numFmtId="0" fontId="1" fillId="10" borderId="1" xfId="0" applyFont="1" applyFill="1" applyBorder="1" applyAlignment="1">
      <alignment readingOrder="1"/>
    </xf>
    <xf numFmtId="0" fontId="1" fillId="11" borderId="1" xfId="0" applyFont="1" applyFill="1" applyBorder="1" applyAlignment="1">
      <alignment readingOrder="1"/>
    </xf>
    <xf numFmtId="0" fontId="3" fillId="0" borderId="0" xfId="0" applyFont="1"/>
    <xf numFmtId="3" fontId="0" fillId="0" borderId="0" xfId="0" applyNumberFormat="1"/>
    <xf numFmtId="11" fontId="0" fillId="0" borderId="0" xfId="0" applyNumberFormat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10" fontId="5" fillId="0" borderId="0" xfId="0" applyNumberFormat="1" applyFont="1"/>
    <xf numFmtId="20" fontId="3" fillId="0" borderId="0" xfId="0" applyNumberFormat="1" applyFont="1"/>
    <xf numFmtId="0" fontId="0" fillId="11" borderId="0" xfId="0" applyFill="1"/>
    <xf numFmtId="0" fontId="0" fillId="9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9" fontId="1" fillId="0" borderId="3" xfId="0" applyNumberFormat="1" applyFont="1" applyBorder="1"/>
    <xf numFmtId="0" fontId="6" fillId="8" borderId="0" xfId="0" applyFont="1" applyFill="1"/>
    <xf numFmtId="20" fontId="1" fillId="0" borderId="1" xfId="0" applyNumberFormat="1" applyFont="1" applyBorder="1"/>
    <xf numFmtId="0" fontId="1" fillId="2" borderId="4" xfId="0" applyFont="1" applyFill="1" applyBorder="1" applyAlignment="1">
      <alignment readingOrder="1"/>
    </xf>
    <xf numFmtId="2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/>
    <xf numFmtId="9" fontId="1" fillId="0" borderId="0" xfId="0" applyNumberFormat="1" applyFont="1"/>
    <xf numFmtId="0" fontId="9" fillId="0" borderId="5" xfId="1" applyFont="1" applyBorder="1" applyAlignment="1">
      <alignment readingOrder="1"/>
    </xf>
    <xf numFmtId="0" fontId="1" fillId="12" borderId="6" xfId="0" applyFont="1" applyFill="1" applyBorder="1" applyAlignment="1">
      <alignment readingOrder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readingOrder="1"/>
    </xf>
    <xf numFmtId="0" fontId="1" fillId="2" borderId="0" xfId="0" applyFont="1" applyFill="1" applyAlignment="1">
      <alignment wrapText="1" readingOrder="1"/>
    </xf>
    <xf numFmtId="0" fontId="1" fillId="2" borderId="0" xfId="0" applyFont="1" applyFill="1" applyAlignment="1">
      <alignment readingOrder="1"/>
    </xf>
    <xf numFmtId="0" fontId="1" fillId="0" borderId="8" xfId="0" applyFont="1" applyBorder="1" applyAlignment="1">
      <alignment readingOrder="1"/>
    </xf>
    <xf numFmtId="0" fontId="1" fillId="0" borderId="9" xfId="0" applyFont="1" applyBorder="1" applyAlignment="1">
      <alignment readingOrder="1"/>
    </xf>
    <xf numFmtId="0" fontId="1" fillId="12" borderId="0" xfId="0" applyFont="1" applyFill="1" applyAlignment="1">
      <alignment readingOrder="1"/>
    </xf>
    <xf numFmtId="0" fontId="8" fillId="0" borderId="0" xfId="0" applyFont="1"/>
    <xf numFmtId="0" fontId="7" fillId="12" borderId="0" xfId="1" applyFill="1" applyBorder="1" applyAlignment="1">
      <alignment readingOrder="1"/>
    </xf>
    <xf numFmtId="0" fontId="7" fillId="12" borderId="7" xfId="1" applyFill="1" applyBorder="1" applyAlignment="1">
      <alignment readingOrder="1"/>
    </xf>
    <xf numFmtId="167" fontId="1" fillId="0" borderId="1" xfId="0" applyNumberFormat="1" applyFont="1" applyBorder="1"/>
    <xf numFmtId="1" fontId="6" fillId="0" borderId="0" xfId="0" applyNumberFormat="1" applyFont="1"/>
    <xf numFmtId="1" fontId="3" fillId="0" borderId="0" xfId="0" applyNumberFormat="1" applyFont="1"/>
    <xf numFmtId="0" fontId="1" fillId="0" borderId="0" xfId="0" applyFont="1" applyAlignment="1">
      <alignment horizontal="right"/>
    </xf>
    <xf numFmtId="0" fontId="0" fillId="13" borderId="0" xfId="0" applyFill="1"/>
    <xf numFmtId="0" fontId="6" fillId="13" borderId="0" xfId="0" applyFont="1" applyFill="1"/>
    <xf numFmtId="0" fontId="12" fillId="13" borderId="0" xfId="0" applyFont="1" applyFill="1"/>
    <xf numFmtId="4" fontId="1" fillId="3" borderId="0" xfId="0" applyNumberFormat="1" applyFont="1" applyFill="1" applyAlignment="1">
      <alignment readingOrder="1"/>
    </xf>
    <xf numFmtId="0" fontId="0" fillId="14" borderId="0" xfId="0" applyFill="1"/>
    <xf numFmtId="0" fontId="16" fillId="14" borderId="0" xfId="0" applyFont="1" applyFill="1" applyAlignment="1">
      <alignment readingOrder="1"/>
    </xf>
    <xf numFmtId="0" fontId="17" fillId="14" borderId="0" xfId="0" applyFont="1" applyFill="1"/>
    <xf numFmtId="9" fontId="0" fillId="0" borderId="0" xfId="0" applyNumberFormat="1"/>
    <xf numFmtId="0" fontId="0" fillId="0" borderId="0" xfId="0" applyAlignment="1">
      <alignment horizontal="right"/>
    </xf>
    <xf numFmtId="0" fontId="20" fillId="14" borderId="0" xfId="0" applyFont="1" applyFill="1"/>
    <xf numFmtId="0" fontId="21" fillId="14" borderId="0" xfId="0" applyFont="1" applyFill="1" applyAlignment="1">
      <alignment readingOrder="1"/>
    </xf>
    <xf numFmtId="0" fontId="22" fillId="14" borderId="0" xfId="0" applyFont="1" applyFill="1"/>
    <xf numFmtId="2" fontId="19" fillId="0" borderId="0" xfId="0" applyNumberFormat="1" applyFont="1"/>
    <xf numFmtId="0" fontId="23" fillId="0" borderId="0" xfId="0" applyFont="1"/>
    <xf numFmtId="1" fontId="23" fillId="0" borderId="0" xfId="0" applyNumberFormat="1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4" fontId="26" fillId="0" borderId="0" xfId="0" applyNumberFormat="1" applyFont="1" applyAlignment="1">
      <alignment vertical="top"/>
    </xf>
    <xf numFmtId="0" fontId="0" fillId="0" borderId="10" xfId="0" applyBorder="1"/>
    <xf numFmtId="0" fontId="19" fillId="0" borderId="10" xfId="0" applyFont="1" applyBorder="1"/>
    <xf numFmtId="168" fontId="1" fillId="0" borderId="0" xfId="0" applyNumberFormat="1" applyFont="1"/>
    <xf numFmtId="0" fontId="1" fillId="0" borderId="0" xfId="0" applyFont="1" applyAlignment="1">
      <alignment horizontal="left" vertical="top"/>
    </xf>
    <xf numFmtId="169" fontId="3" fillId="0" borderId="0" xfId="0" applyNumberFormat="1" applyFont="1"/>
    <xf numFmtId="0" fontId="15" fillId="15" borderId="0" xfId="0" applyFont="1" applyFill="1"/>
    <xf numFmtId="0" fontId="0" fillId="15" borderId="0" xfId="0" applyFill="1"/>
    <xf numFmtId="0" fontId="6" fillId="14" borderId="0" xfId="0" applyFont="1" applyFill="1" applyAlignment="1">
      <alignment horizontal="center" vertical="center"/>
    </xf>
    <xf numFmtId="0" fontId="22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18" fillId="14" borderId="0" xfId="0" applyFont="1" applyFill="1" applyAlignment="1">
      <alignment vertical="center"/>
    </xf>
    <xf numFmtId="0" fontId="15" fillId="14" borderId="0" xfId="0" applyFont="1" applyFill="1" applyAlignment="1">
      <alignment vertical="center"/>
    </xf>
    <xf numFmtId="1" fontId="32" fillId="0" borderId="0" xfId="0" applyNumberFormat="1" applyFont="1"/>
    <xf numFmtId="0" fontId="33" fillId="0" borderId="0" xfId="0" applyFont="1"/>
    <xf numFmtId="0" fontId="35" fillId="0" borderId="0" xfId="0" applyFont="1"/>
    <xf numFmtId="4" fontId="27" fillId="0" borderId="0" xfId="0" applyNumberFormat="1" applyFont="1" applyAlignment="1">
      <alignment vertical="top"/>
    </xf>
    <xf numFmtId="0" fontId="0" fillId="16" borderId="0" xfId="0" applyFill="1"/>
    <xf numFmtId="0" fontId="36" fillId="16" borderId="0" xfId="0" applyFont="1" applyFill="1"/>
    <xf numFmtId="0" fontId="34" fillId="16" borderId="0" xfId="0" applyFont="1" applyFill="1"/>
    <xf numFmtId="0" fontId="37" fillId="16" borderId="0" xfId="0" applyFont="1" applyFill="1" applyAlignment="1">
      <alignment vertical="top"/>
    </xf>
    <xf numFmtId="0" fontId="36" fillId="9" borderId="0" xfId="0" applyFont="1" applyFill="1"/>
    <xf numFmtId="0" fontId="34" fillId="9" borderId="0" xfId="0" applyFont="1" applyFill="1"/>
    <xf numFmtId="0" fontId="37" fillId="9" borderId="0" xfId="0" applyFont="1" applyFill="1" applyAlignment="1">
      <alignment vertical="top"/>
    </xf>
    <xf numFmtId="0" fontId="39" fillId="13" borderId="0" xfId="0" applyFont="1" applyFill="1"/>
    <xf numFmtId="0" fontId="40" fillId="13" borderId="0" xfId="0" applyFont="1" applyFill="1"/>
    <xf numFmtId="0" fontId="41" fillId="13" borderId="0" xfId="0" applyFont="1" applyFill="1"/>
    <xf numFmtId="0" fontId="19" fillId="0" borderId="0" xfId="0" applyFont="1"/>
    <xf numFmtId="0" fontId="0" fillId="17" borderId="0" xfId="0" applyFill="1"/>
    <xf numFmtId="0" fontId="36" fillId="17" borderId="0" xfId="0" applyFont="1" applyFill="1"/>
    <xf numFmtId="0" fontId="37" fillId="17" borderId="0" xfId="0" applyFont="1" applyFill="1" applyAlignment="1">
      <alignment vertical="top"/>
    </xf>
    <xf numFmtId="0" fontId="34" fillId="17" borderId="0" xfId="0" applyFont="1" applyFill="1"/>
    <xf numFmtId="0" fontId="0" fillId="0" borderId="0" xfId="0" applyAlignment="1">
      <alignment horizontal="left"/>
    </xf>
    <xf numFmtId="0" fontId="0" fillId="16" borderId="0" xfId="0" applyFill="1" applyAlignment="1">
      <alignment horizontal="left"/>
    </xf>
    <xf numFmtId="0" fontId="33" fillId="16" borderId="0" xfId="0" applyFont="1" applyFill="1" applyAlignment="1">
      <alignment horizontal="left" vertical="center"/>
    </xf>
    <xf numFmtId="0" fontId="0" fillId="9" borderId="0" xfId="0" applyFill="1" applyAlignment="1">
      <alignment horizontal="left"/>
    </xf>
    <xf numFmtId="0" fontId="33" fillId="9" borderId="0" xfId="0" applyFont="1" applyFill="1" applyAlignment="1">
      <alignment horizontal="left" vertical="center"/>
    </xf>
    <xf numFmtId="0" fontId="0" fillId="17" borderId="0" xfId="0" applyFill="1" applyAlignment="1">
      <alignment horizontal="left"/>
    </xf>
    <xf numFmtId="0" fontId="33" fillId="17" borderId="0" xfId="0" applyFont="1" applyFill="1" applyAlignment="1">
      <alignment horizontal="left" vertic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37" fillId="0" borderId="0" xfId="0" applyFont="1"/>
    <xf numFmtId="170" fontId="0" fillId="0" borderId="0" xfId="0" applyNumberForma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36" fillId="0" borderId="10" xfId="0" applyFont="1" applyBorder="1"/>
    <xf numFmtId="0" fontId="48" fillId="0" borderId="10" xfId="0" applyFont="1" applyBorder="1"/>
    <xf numFmtId="0" fontId="12" fillId="0" borderId="0" xfId="0" applyFont="1"/>
    <xf numFmtId="1" fontId="35" fillId="0" borderId="0" xfId="0" applyNumberFormat="1" applyFont="1"/>
    <xf numFmtId="0" fontId="12" fillId="0" borderId="10" xfId="0" applyFont="1" applyBorder="1"/>
    <xf numFmtId="0" fontId="33" fillId="0" borderId="10" xfId="0" applyFont="1" applyBorder="1"/>
    <xf numFmtId="1" fontId="35" fillId="0" borderId="10" xfId="0" applyNumberFormat="1" applyFont="1" applyBorder="1"/>
    <xf numFmtId="0" fontId="35" fillId="0" borderId="10" xfId="0" applyFont="1" applyBorder="1"/>
    <xf numFmtId="171" fontId="51" fillId="0" borderId="0" xfId="0" applyNumberFormat="1" applyFont="1"/>
    <xf numFmtId="0" fontId="51" fillId="0" borderId="0" xfId="0" applyFont="1"/>
    <xf numFmtId="0" fontId="15" fillId="0" borderId="0" xfId="0" applyFont="1"/>
    <xf numFmtId="0" fontId="36" fillId="0" borderId="0" xfId="0" applyFont="1"/>
    <xf numFmtId="172" fontId="49" fillId="0" borderId="0" xfId="0" applyNumberFormat="1" applyFont="1"/>
    <xf numFmtId="172" fontId="49" fillId="0" borderId="10" xfId="0" applyNumberFormat="1" applyFont="1" applyBorder="1"/>
    <xf numFmtId="1" fontId="35" fillId="0" borderId="10" xfId="0" applyNumberFormat="1" applyFont="1" applyBorder="1" applyAlignment="1">
      <alignment horizontal="center"/>
    </xf>
    <xf numFmtId="0" fontId="0" fillId="18" borderId="0" xfId="0" applyFill="1"/>
    <xf numFmtId="0" fontId="0" fillId="18" borderId="0" xfId="0" applyFill="1" applyAlignment="1">
      <alignment horizontal="left"/>
    </xf>
    <xf numFmtId="0" fontId="36" fillId="18" borderId="0" xfId="0" applyFont="1" applyFill="1"/>
    <xf numFmtId="0" fontId="37" fillId="18" borderId="0" xfId="0" applyFont="1" applyFill="1" applyAlignment="1">
      <alignment vertical="top"/>
    </xf>
    <xf numFmtId="0" fontId="34" fillId="18" borderId="0" xfId="0" applyFont="1" applyFill="1"/>
    <xf numFmtId="0" fontId="33" fillId="18" borderId="0" xfId="0" applyFont="1" applyFill="1" applyAlignment="1">
      <alignment horizontal="left" vertic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36" fillId="7" borderId="0" xfId="0" applyFont="1" applyFill="1"/>
    <xf numFmtId="0" fontId="37" fillId="7" borderId="0" xfId="0" applyFont="1" applyFill="1" applyAlignment="1">
      <alignment vertical="top"/>
    </xf>
    <xf numFmtId="0" fontId="34" fillId="7" borderId="0" xfId="0" applyFont="1" applyFill="1"/>
    <xf numFmtId="0" fontId="33" fillId="7" borderId="0" xfId="0" applyFont="1" applyFill="1" applyAlignment="1">
      <alignment horizontal="left" vertical="center"/>
    </xf>
    <xf numFmtId="4" fontId="0" fillId="0" borderId="0" xfId="0" applyNumberFormat="1"/>
    <xf numFmtId="0" fontId="52" fillId="13" borderId="0" xfId="0" applyFont="1" applyFill="1"/>
    <xf numFmtId="2" fontId="52" fillId="13" borderId="0" xfId="0" applyNumberFormat="1" applyFont="1" applyFill="1" applyAlignment="1">
      <alignment horizontal="center"/>
    </xf>
    <xf numFmtId="0" fontId="14" fillId="13" borderId="0" xfId="1" applyFont="1" applyFill="1" applyAlignment="1">
      <alignment vertical="top"/>
    </xf>
    <xf numFmtId="0" fontId="0" fillId="0" borderId="0" xfId="0" quotePrefix="1"/>
    <xf numFmtId="2" fontId="50" fillId="0" borderId="0" xfId="0" applyNumberFormat="1" applyFont="1" applyAlignment="1">
      <alignment horizontal="center"/>
    </xf>
    <xf numFmtId="2" fontId="50" fillId="0" borderId="10" xfId="0" applyNumberFormat="1" applyFont="1" applyBorder="1" applyAlignment="1">
      <alignment horizontal="center"/>
    </xf>
    <xf numFmtId="0" fontId="53" fillId="0" borderId="10" xfId="0" applyFont="1" applyBorder="1" applyAlignment="1">
      <alignment horizontal="right"/>
    </xf>
    <xf numFmtId="0" fontId="36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3" fontId="42" fillId="4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9" fillId="0" borderId="10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readingOrder="1"/>
    </xf>
    <xf numFmtId="0" fontId="1" fillId="3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 readingOrder="1"/>
    </xf>
    <xf numFmtId="14" fontId="13" fillId="13" borderId="0" xfId="0" applyNumberFormat="1" applyFont="1" applyFill="1"/>
    <xf numFmtId="0" fontId="29" fillId="4" borderId="0" xfId="0" applyFont="1" applyFill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center" vertical="center"/>
      <protection locked="0"/>
    </xf>
    <xf numFmtId="4" fontId="38" fillId="13" borderId="1" xfId="0" applyNumberFormat="1" applyFont="1" applyFill="1" applyBorder="1" applyAlignment="1" applyProtection="1">
      <alignment vertical="top"/>
      <protection locked="0"/>
    </xf>
    <xf numFmtId="4" fontId="31" fillId="13" borderId="11" xfId="0" applyNumberFormat="1" applyFont="1" applyFill="1" applyBorder="1" applyAlignment="1" applyProtection="1">
      <alignment vertical="top"/>
      <protection locked="0"/>
    </xf>
    <xf numFmtId="3" fontId="31" fillId="13" borderId="12" xfId="0" applyNumberFormat="1" applyFont="1" applyFill="1" applyBorder="1" applyAlignment="1" applyProtection="1">
      <alignment vertical="top"/>
      <protection locked="0"/>
    </xf>
    <xf numFmtId="3" fontId="38" fillId="13" borderId="1" xfId="0" applyNumberFormat="1" applyFont="1" applyFill="1" applyBorder="1" applyAlignment="1" applyProtection="1">
      <alignment vertical="top"/>
      <protection locked="0"/>
    </xf>
    <xf numFmtId="4" fontId="38" fillId="0" borderId="11" xfId="0" applyNumberFormat="1" applyFont="1" applyBorder="1" applyAlignment="1" applyProtection="1">
      <alignment vertical="top"/>
      <protection locked="0"/>
    </xf>
    <xf numFmtId="4" fontId="38" fillId="0" borderId="1" xfId="0" applyNumberFormat="1" applyFont="1" applyBorder="1" applyAlignment="1" applyProtection="1">
      <alignment vertical="top"/>
      <protection locked="0"/>
    </xf>
  </cellXfs>
  <cellStyles count="2">
    <cellStyle name="Hyperlink" xfId="1" xr:uid="{00000000-000B-0000-0000-000008000000}"/>
    <cellStyle name="Normalny" xfId="0" builtinId="0"/>
  </cellStyles>
  <dxfs count="1">
    <dxf>
      <font>
        <color theme="6"/>
      </font>
    </dxf>
  </dxfs>
  <tableStyles count="0" defaultTableStyle="TableStyleMedium2" defaultPivotStyle="PivotStyleMedium9"/>
  <colors>
    <mruColors>
      <color rgb="FF656C7F"/>
      <color rgb="FF3E3F54"/>
      <color rgb="FF669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45F82"/>
            </a:solidFill>
            <a:ln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Kalkulacja!$B$102:$E$115</c:f>
              <c:multiLvlStrCache>
                <c:ptCount val="14"/>
                <c:lvl>
                  <c:pt idx="0">
                    <c:v>Kocioł tradycyjny</c:v>
                  </c:pt>
                  <c:pt idx="1">
                    <c:v>Kocioł kondensacyjny</c:v>
                  </c:pt>
                  <c:pt idx="2">
                    <c:v>Kocioł tradycyjny</c:v>
                  </c:pt>
                  <c:pt idx="3">
                    <c:v>Kocioł kondensacyjny</c:v>
                  </c:pt>
                  <c:pt idx="4">
                    <c:v>Kocioł tradycyjny</c:v>
                  </c:pt>
                  <c:pt idx="5">
                    <c:v>Kocioł kondensacyjny</c:v>
                  </c:pt>
                  <c:pt idx="6">
                    <c:v>Pellet</c:v>
                  </c:pt>
                  <c:pt idx="7">
                    <c:v>Zgazowanie</c:v>
                  </c:pt>
                  <c:pt idx="8">
                    <c:v>G11</c:v>
                  </c:pt>
                  <c:pt idx="9">
                    <c:v>G12</c:v>
                  </c:pt>
                  <c:pt idx="10">
                    <c:v>G12w</c:v>
                  </c:pt>
                  <c:pt idx="11">
                    <c:v>G11</c:v>
                  </c:pt>
                  <c:pt idx="12">
                    <c:v>G12</c:v>
                  </c:pt>
                  <c:pt idx="13">
                    <c:v>G12w</c:v>
                  </c:pt>
                </c:lvl>
                <c:lvl>
                  <c:pt idx="0">
                    <c:v>Gaz ziemny (E)</c:v>
                  </c:pt>
                  <c:pt idx="2">
                    <c:v>Gaz płynny</c:v>
                  </c:pt>
                  <c:pt idx="4">
                    <c:v>Olej opałowy</c:v>
                  </c:pt>
                  <c:pt idx="6">
                    <c:v>Drewno</c:v>
                  </c:pt>
                  <c:pt idx="8">
                    <c:v>Pompa ciepła grunt / woda</c:v>
                  </c:pt>
                  <c:pt idx="11">
                    <c:v>Pompa ciepła powietrze / woda</c:v>
                  </c:pt>
                </c:lvl>
              </c:multiLvlStrCache>
            </c:multiLvlStrRef>
          </c:cat>
          <c:val>
            <c:numRef>
              <c:f>Kalkulacja!$H$102:$H$115</c:f>
              <c:numCache>
                <c:formatCode>#\ ##0\ [$zł-415]</c:formatCode>
                <c:ptCount val="14"/>
                <c:pt idx="0">
                  <c:v>5161.2506965927541</c:v>
                </c:pt>
                <c:pt idx="1">
                  <c:v>4316.4543917367646</c:v>
                </c:pt>
                <c:pt idx="2">
                  <c:v>5214.8680726243483</c:v>
                </c:pt>
                <c:pt idx="3">
                  <c:v>4771.0495132520646</c:v>
                </c:pt>
                <c:pt idx="4">
                  <c:v>7606.5491657614839</c:v>
                </c:pt>
                <c:pt idx="5">
                  <c:v>6937.841546793441</c:v>
                </c:pt>
                <c:pt idx="6">
                  <c:v>7527.993620379465</c:v>
                </c:pt>
                <c:pt idx="7">
                  <c:v>3457.3936658506727</c:v>
                </c:pt>
                <c:pt idx="8">
                  <c:v>2969.995095759235</c:v>
                </c:pt>
                <c:pt idx="9">
                  <c:v>2774.6905730848157</c:v>
                </c:pt>
                <c:pt idx="10">
                  <c:v>2670.7156204514363</c:v>
                </c:pt>
                <c:pt idx="11">
                  <c:v>3345.4547907410215</c:v>
                </c:pt>
                <c:pt idx="12">
                  <c:v>3123.6877084256271</c:v>
                </c:pt>
                <c:pt idx="13">
                  <c:v>3008.3411181061574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3-4AEF-939B-99EBDF12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axId val="875047431"/>
        <c:axId val="1034543623"/>
      </c:barChart>
      <c:catAx>
        <c:axId val="875047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543623"/>
        <c:crosses val="autoZero"/>
        <c:auto val="1"/>
        <c:lblAlgn val="ctr"/>
        <c:lblOffset val="100"/>
        <c:noMultiLvlLbl val="0"/>
      </c:catAx>
      <c:valAx>
        <c:axId val="10345436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[$zł-415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047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'Tauron 2026'!$M$5</c:f>
              <c:strCache>
                <c:ptCount val="1"/>
                <c:pt idx="0">
                  <c:v>G11</c:v>
                </c:pt>
              </c:strCache>
            </c:strRef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D3-42B5-BBC0-E5442CD4D6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D3-42B5-BBC0-E5442CD4D6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D3-42B5-BBC0-E5442CD4D6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D3-42B5-BBC0-E5442CD4D6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FD3-42B5-BBC0-E5442CD4D6B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D3-42B5-BBC0-E5442CD4D6B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D3-42B5-BBC0-E5442CD4D6B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D3-42B5-BBC0-E5442CD4D6B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D3-42B5-BBC0-E5442CD4D6B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D3-42B5-BBC0-E5442CD4D6B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D3-42B5-BBC0-E5442CD4D6B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3-42B5-BBC0-E5442CD4D6B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C-44BA-8E03-206A5FEA38A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C-44BA-8E03-206A5FEA38A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6C-44BA-8E03-206A5FEA38A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C-44BA-8E03-206A5FEA38A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6C-44BA-8E03-206A5FEA38A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6C-44BA-8E03-206A5FEA38A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6C-44BA-8E03-206A5FEA38A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3-42B5-BBC0-E5442CD4D6B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3-42B5-BBC0-E5442CD4D6B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3-42B5-BBC0-E5442CD4D6B0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D3-42B5-BBC0-E5442CD4D6B0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3-42B5-BBC0-E5442CD4D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00:00</c:v>
                </c:pt>
                <c:pt idx="2">
                  <c:v>01:00</c:v>
                </c:pt>
                <c:pt idx="3">
                  <c:v>02:00</c:v>
                </c:pt>
                <c:pt idx="4">
                  <c:v>03:00</c:v>
                </c:pt>
                <c:pt idx="5">
                  <c:v>04:00</c:v>
                </c:pt>
                <c:pt idx="6">
                  <c:v>05:00</c:v>
                </c:pt>
                <c:pt idx="7">
                  <c:v>06:00</c:v>
                </c:pt>
                <c:pt idx="8">
                  <c:v>07:00</c:v>
                </c:pt>
                <c:pt idx="9">
                  <c:v>08:00</c:v>
                </c:pt>
                <c:pt idx="10">
                  <c:v>09:00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00:00</c:v>
                </c:pt>
                <c:pt idx="28">
                  <c:v>01:00</c:v>
                </c:pt>
                <c:pt idx="29">
                  <c:v>02:00</c:v>
                </c:pt>
                <c:pt idx="30">
                  <c:v>03:00</c:v>
                </c:pt>
                <c:pt idx="31">
                  <c:v>04:00</c:v>
                </c:pt>
                <c:pt idx="32">
                  <c:v>05:00</c:v>
                </c:pt>
                <c:pt idx="33">
                  <c:v>06:00</c:v>
                </c:pt>
                <c:pt idx="34">
                  <c:v>07:00</c:v>
                </c:pt>
                <c:pt idx="35">
                  <c:v>08:00</c:v>
                </c:pt>
                <c:pt idx="36">
                  <c:v>09:00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2026'!$M$6:$M$56</c:f>
              <c:numCache>
                <c:formatCode>_-* #\ ##0.0000\ [$zł-415]_-;\-* #\ ##0.0000\ [$zł-415]_-;_-* "-"????\ [$zł-415]_-;_-@_-</c:formatCode>
                <c:ptCount val="51"/>
                <c:pt idx="1">
                  <c:v>0.497</c:v>
                </c:pt>
                <c:pt idx="2">
                  <c:v>0.497</c:v>
                </c:pt>
                <c:pt idx="3">
                  <c:v>0.497</c:v>
                </c:pt>
                <c:pt idx="4">
                  <c:v>0.497</c:v>
                </c:pt>
                <c:pt idx="5">
                  <c:v>0.497</c:v>
                </c:pt>
                <c:pt idx="6">
                  <c:v>0.497</c:v>
                </c:pt>
                <c:pt idx="7">
                  <c:v>0.497</c:v>
                </c:pt>
                <c:pt idx="8">
                  <c:v>0.497</c:v>
                </c:pt>
                <c:pt idx="9">
                  <c:v>0.497</c:v>
                </c:pt>
                <c:pt idx="10">
                  <c:v>0.497</c:v>
                </c:pt>
                <c:pt idx="11">
                  <c:v>0.497</c:v>
                </c:pt>
                <c:pt idx="12">
                  <c:v>0.497</c:v>
                </c:pt>
                <c:pt idx="13">
                  <c:v>0.497</c:v>
                </c:pt>
                <c:pt idx="14">
                  <c:v>0.497</c:v>
                </c:pt>
                <c:pt idx="15">
                  <c:v>0.497</c:v>
                </c:pt>
                <c:pt idx="16">
                  <c:v>0.497</c:v>
                </c:pt>
                <c:pt idx="17">
                  <c:v>0.497</c:v>
                </c:pt>
                <c:pt idx="18">
                  <c:v>0.497</c:v>
                </c:pt>
                <c:pt idx="19">
                  <c:v>0.497</c:v>
                </c:pt>
                <c:pt idx="20">
                  <c:v>0.497</c:v>
                </c:pt>
                <c:pt idx="21">
                  <c:v>0.497</c:v>
                </c:pt>
                <c:pt idx="22">
                  <c:v>0.497</c:v>
                </c:pt>
                <c:pt idx="23">
                  <c:v>0.497</c:v>
                </c:pt>
                <c:pt idx="24">
                  <c:v>0.497</c:v>
                </c:pt>
                <c:pt idx="27">
                  <c:v>0.497</c:v>
                </c:pt>
                <c:pt idx="28">
                  <c:v>0.497</c:v>
                </c:pt>
                <c:pt idx="29">
                  <c:v>0.497</c:v>
                </c:pt>
                <c:pt idx="30">
                  <c:v>0.497</c:v>
                </c:pt>
                <c:pt idx="31">
                  <c:v>0.497</c:v>
                </c:pt>
                <c:pt idx="32">
                  <c:v>0.497</c:v>
                </c:pt>
                <c:pt idx="33">
                  <c:v>0.497</c:v>
                </c:pt>
                <c:pt idx="34">
                  <c:v>0.497</c:v>
                </c:pt>
                <c:pt idx="35">
                  <c:v>0.497</c:v>
                </c:pt>
                <c:pt idx="36">
                  <c:v>0.497</c:v>
                </c:pt>
                <c:pt idx="37">
                  <c:v>0.497</c:v>
                </c:pt>
                <c:pt idx="38">
                  <c:v>0.497</c:v>
                </c:pt>
                <c:pt idx="39">
                  <c:v>0.497</c:v>
                </c:pt>
                <c:pt idx="40">
                  <c:v>0.497</c:v>
                </c:pt>
                <c:pt idx="41">
                  <c:v>0.497</c:v>
                </c:pt>
                <c:pt idx="42">
                  <c:v>0.497</c:v>
                </c:pt>
                <c:pt idx="43">
                  <c:v>0.497</c:v>
                </c:pt>
                <c:pt idx="44">
                  <c:v>0.497</c:v>
                </c:pt>
                <c:pt idx="45">
                  <c:v>0.497</c:v>
                </c:pt>
                <c:pt idx="46">
                  <c:v>0.497</c:v>
                </c:pt>
                <c:pt idx="47">
                  <c:v>0.497</c:v>
                </c:pt>
                <c:pt idx="48">
                  <c:v>0.497</c:v>
                </c:pt>
                <c:pt idx="49">
                  <c:v>0.497</c:v>
                </c:pt>
                <c:pt idx="50">
                  <c:v>0.497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2CA-95B9-19F27D7E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2487"/>
        <c:axId val="515430407"/>
      </c:barChart>
      <c:catAx>
        <c:axId val="515412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30407"/>
        <c:crosses val="autoZero"/>
        <c:auto val="1"/>
        <c:lblAlgn val="ctr"/>
        <c:lblOffset val="100"/>
        <c:noMultiLvlLbl val="0"/>
      </c:catAx>
      <c:valAx>
        <c:axId val="515430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12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'Tauron 2026'!$N$5</c:f>
              <c:strCache>
                <c:ptCount val="1"/>
                <c:pt idx="0">
                  <c:v>G12</c:v>
                </c:pt>
              </c:strCache>
            </c:strRef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89-46BA-8F69-34F71E138F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9-46BA-8F69-34F71E138F2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89-46BA-8F69-34F71E138F2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9-46BA-8F69-34F71E138F2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89-46BA-8F69-34F71E138F2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89-46BA-8F69-34F71E138F2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89-46BA-8F69-34F71E138F2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89-46BA-8F69-34F71E138F2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89-46BA-8F69-34F71E138F2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9-46BA-8F69-34F71E138F2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89-46BA-8F69-34F71E138F2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9-46BA-8F69-34F71E138F2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89-46BA-8F69-34F71E138F2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9-46BA-8F69-34F71E138F2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89-46BA-8F69-34F71E138F2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9-46BA-8F69-34F71E138F2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89-46BA-8F69-34F71E138F2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9-46BA-8F69-34F71E138F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9-46BA-8F69-34F71E138F2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9-46BA-8F69-34F71E138F2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9-46BA-8F69-34F71E138F20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9-46BA-8F69-34F71E138F20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89-46BA-8F69-34F71E138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00:00</c:v>
                </c:pt>
                <c:pt idx="2">
                  <c:v>01:00</c:v>
                </c:pt>
                <c:pt idx="3">
                  <c:v>02:00</c:v>
                </c:pt>
                <c:pt idx="4">
                  <c:v>03:00</c:v>
                </c:pt>
                <c:pt idx="5">
                  <c:v>04:00</c:v>
                </c:pt>
                <c:pt idx="6">
                  <c:v>05:00</c:v>
                </c:pt>
                <c:pt idx="7">
                  <c:v>06:00</c:v>
                </c:pt>
                <c:pt idx="8">
                  <c:v>07:00</c:v>
                </c:pt>
                <c:pt idx="9">
                  <c:v>08:00</c:v>
                </c:pt>
                <c:pt idx="10">
                  <c:v>09:00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00:00</c:v>
                </c:pt>
                <c:pt idx="28">
                  <c:v>01:00</c:v>
                </c:pt>
                <c:pt idx="29">
                  <c:v>02:00</c:v>
                </c:pt>
                <c:pt idx="30">
                  <c:v>03:00</c:v>
                </c:pt>
                <c:pt idx="31">
                  <c:v>04:00</c:v>
                </c:pt>
                <c:pt idx="32">
                  <c:v>05:00</c:v>
                </c:pt>
                <c:pt idx="33">
                  <c:v>06:00</c:v>
                </c:pt>
                <c:pt idx="34">
                  <c:v>07:00</c:v>
                </c:pt>
                <c:pt idx="35">
                  <c:v>08:00</c:v>
                </c:pt>
                <c:pt idx="36">
                  <c:v>09:00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2026'!$N$6:$N$56</c:f>
              <c:numCache>
                <c:formatCode>_-* #\ ##0.0000\ [$zł-415]_-;\-* #\ ##0.0000\ [$zł-415]_-;_-* "-"????\ [$zł-415]_-;_-@_-</c:formatCode>
                <c:ptCount val="51"/>
                <c:pt idx="1">
                  <c:v>0.41299999999999998</c:v>
                </c:pt>
                <c:pt idx="2">
                  <c:v>0.41299999999999998</c:v>
                </c:pt>
                <c:pt idx="3">
                  <c:v>0.41299999999999998</c:v>
                </c:pt>
                <c:pt idx="4">
                  <c:v>0.41299999999999998</c:v>
                </c:pt>
                <c:pt idx="5">
                  <c:v>0.41299999999999998</c:v>
                </c:pt>
                <c:pt idx="6">
                  <c:v>0.41299999999999998</c:v>
                </c:pt>
                <c:pt idx="7">
                  <c:v>0.54300000000000004</c:v>
                </c:pt>
                <c:pt idx="8">
                  <c:v>0.54300000000000004</c:v>
                </c:pt>
                <c:pt idx="9">
                  <c:v>0.54300000000000004</c:v>
                </c:pt>
                <c:pt idx="10">
                  <c:v>0.54300000000000004</c:v>
                </c:pt>
                <c:pt idx="11">
                  <c:v>0.54300000000000004</c:v>
                </c:pt>
                <c:pt idx="12">
                  <c:v>0.54300000000000004</c:v>
                </c:pt>
                <c:pt idx="13">
                  <c:v>0.54300000000000004</c:v>
                </c:pt>
                <c:pt idx="14">
                  <c:v>0.41299999999999998</c:v>
                </c:pt>
                <c:pt idx="15">
                  <c:v>0.41299999999999998</c:v>
                </c:pt>
                <c:pt idx="16">
                  <c:v>0.54300000000000004</c:v>
                </c:pt>
                <c:pt idx="17">
                  <c:v>0.54300000000000004</c:v>
                </c:pt>
                <c:pt idx="18">
                  <c:v>0.54300000000000004</c:v>
                </c:pt>
                <c:pt idx="19">
                  <c:v>0.54300000000000004</c:v>
                </c:pt>
                <c:pt idx="20">
                  <c:v>0.54300000000000004</c:v>
                </c:pt>
                <c:pt idx="21">
                  <c:v>0.54300000000000004</c:v>
                </c:pt>
                <c:pt idx="22">
                  <c:v>0.54300000000000004</c:v>
                </c:pt>
                <c:pt idx="23">
                  <c:v>0.41299999999999998</c:v>
                </c:pt>
                <c:pt idx="24">
                  <c:v>0.41299999999999998</c:v>
                </c:pt>
                <c:pt idx="27">
                  <c:v>0.41299999999999998</c:v>
                </c:pt>
                <c:pt idx="28">
                  <c:v>0.41299999999999998</c:v>
                </c:pt>
                <c:pt idx="29">
                  <c:v>0.41299999999999998</c:v>
                </c:pt>
                <c:pt idx="30">
                  <c:v>0.41299999999999998</c:v>
                </c:pt>
                <c:pt idx="31">
                  <c:v>0.41299999999999998</c:v>
                </c:pt>
                <c:pt idx="32">
                  <c:v>0.41299999999999998</c:v>
                </c:pt>
                <c:pt idx="33">
                  <c:v>0.54300000000000004</c:v>
                </c:pt>
                <c:pt idx="34">
                  <c:v>0.54300000000000004</c:v>
                </c:pt>
                <c:pt idx="35">
                  <c:v>0.54300000000000004</c:v>
                </c:pt>
                <c:pt idx="36">
                  <c:v>0.54300000000000004</c:v>
                </c:pt>
                <c:pt idx="37">
                  <c:v>0.54300000000000004</c:v>
                </c:pt>
                <c:pt idx="38">
                  <c:v>0.54300000000000004</c:v>
                </c:pt>
                <c:pt idx="39">
                  <c:v>0.54300000000000004</c:v>
                </c:pt>
                <c:pt idx="40">
                  <c:v>0.41299999999999998</c:v>
                </c:pt>
                <c:pt idx="41">
                  <c:v>0.41299999999999998</c:v>
                </c:pt>
                <c:pt idx="42">
                  <c:v>0.54300000000000004</c:v>
                </c:pt>
                <c:pt idx="43">
                  <c:v>0.54300000000000004</c:v>
                </c:pt>
                <c:pt idx="44">
                  <c:v>0.54300000000000004</c:v>
                </c:pt>
                <c:pt idx="45">
                  <c:v>0.54300000000000004</c:v>
                </c:pt>
                <c:pt idx="46">
                  <c:v>0.54300000000000004</c:v>
                </c:pt>
                <c:pt idx="47">
                  <c:v>0.54300000000000004</c:v>
                </c:pt>
                <c:pt idx="48">
                  <c:v>0.54300000000000004</c:v>
                </c:pt>
                <c:pt idx="49">
                  <c:v>0.41299999999999998</c:v>
                </c:pt>
                <c:pt idx="50">
                  <c:v>0.41299999999999998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1-4F33-ABE8-46F67563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730183"/>
        <c:axId val="911732231"/>
      </c:barChart>
      <c:catAx>
        <c:axId val="911730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732231"/>
        <c:crosses val="autoZero"/>
        <c:auto val="1"/>
        <c:lblAlgn val="ctr"/>
        <c:lblOffset val="100"/>
        <c:noMultiLvlLbl val="0"/>
      </c:catAx>
      <c:valAx>
        <c:axId val="911732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730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'Tauron 2026'!$O$5</c:f>
              <c:strCache>
                <c:ptCount val="1"/>
                <c:pt idx="0">
                  <c:v>G12w</c:v>
                </c:pt>
              </c:strCache>
            </c:strRef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2-408C-A2CD-FCC131F307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2-408C-A2CD-FCC131F307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2-408C-A2CD-FCC131F307B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2-408C-A2CD-FCC131F307B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2-408C-A2CD-FCC131F307B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2-408C-A2CD-FCC131F307B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32-408C-A2CD-FCC131F307B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32-408C-A2CD-FCC131F307B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32-408C-A2CD-FCC131F307B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32-408C-A2CD-FCC131F307B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32-408C-A2CD-FCC131F307B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32-408C-A2CD-FCC131F307B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32-408C-A2CD-FCC131F307B5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32-408C-A2CD-FCC131F307B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32-408C-A2CD-FCC131F307B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32-408C-A2CD-FCC131F307B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32-408C-A2CD-FCC131F307B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32-408C-A2CD-FCC131F307B5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32-408C-A2CD-FCC131F307B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DC-4B91-AE2E-DD23FDD920E5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DC-4B91-AE2E-DD23FDD920E5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DC-4B91-AE2E-DD23FDD920E5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DC-4B91-AE2E-DD23FDD920E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DC-4B91-AE2E-DD23FDD92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00:00</c:v>
                </c:pt>
                <c:pt idx="2">
                  <c:v>01:00</c:v>
                </c:pt>
                <c:pt idx="3">
                  <c:v>02:00</c:v>
                </c:pt>
                <c:pt idx="4">
                  <c:v>03:00</c:v>
                </c:pt>
                <c:pt idx="5">
                  <c:v>04:00</c:v>
                </c:pt>
                <c:pt idx="6">
                  <c:v>05:00</c:v>
                </c:pt>
                <c:pt idx="7">
                  <c:v>06:00</c:v>
                </c:pt>
                <c:pt idx="8">
                  <c:v>07:00</c:v>
                </c:pt>
                <c:pt idx="9">
                  <c:v>08:00</c:v>
                </c:pt>
                <c:pt idx="10">
                  <c:v>09:00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00:00</c:v>
                </c:pt>
                <c:pt idx="28">
                  <c:v>01:00</c:v>
                </c:pt>
                <c:pt idx="29">
                  <c:v>02:00</c:v>
                </c:pt>
                <c:pt idx="30">
                  <c:v>03:00</c:v>
                </c:pt>
                <c:pt idx="31">
                  <c:v>04:00</c:v>
                </c:pt>
                <c:pt idx="32">
                  <c:v>05:00</c:v>
                </c:pt>
                <c:pt idx="33">
                  <c:v>06:00</c:v>
                </c:pt>
                <c:pt idx="34">
                  <c:v>07:00</c:v>
                </c:pt>
                <c:pt idx="35">
                  <c:v>08:00</c:v>
                </c:pt>
                <c:pt idx="36">
                  <c:v>09:00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2026'!$O$6:$O$56</c:f>
              <c:numCache>
                <c:formatCode>_-* #\ ##0.0000\ [$zł-415]_-;\-* #\ ##0.0000\ [$zł-415]_-;_-* "-"????\ [$zł-415]_-;_-@_-</c:formatCode>
                <c:ptCount val="51"/>
                <c:pt idx="1">
                  <c:v>0.41299999999999998</c:v>
                </c:pt>
                <c:pt idx="2">
                  <c:v>0.41299999999999998</c:v>
                </c:pt>
                <c:pt idx="3">
                  <c:v>0.41299999999999998</c:v>
                </c:pt>
                <c:pt idx="4">
                  <c:v>0.41299999999999998</c:v>
                </c:pt>
                <c:pt idx="5">
                  <c:v>0.41299999999999998</c:v>
                </c:pt>
                <c:pt idx="6">
                  <c:v>0.41299999999999998</c:v>
                </c:pt>
                <c:pt idx="7">
                  <c:v>0.622</c:v>
                </c:pt>
                <c:pt idx="8">
                  <c:v>0.622</c:v>
                </c:pt>
                <c:pt idx="9">
                  <c:v>0.622</c:v>
                </c:pt>
                <c:pt idx="10">
                  <c:v>0.622</c:v>
                </c:pt>
                <c:pt idx="11">
                  <c:v>0.622</c:v>
                </c:pt>
                <c:pt idx="12">
                  <c:v>0.622</c:v>
                </c:pt>
                <c:pt idx="13">
                  <c:v>0.622</c:v>
                </c:pt>
                <c:pt idx="14">
                  <c:v>0.41299999999999998</c:v>
                </c:pt>
                <c:pt idx="15">
                  <c:v>0.41299999999999998</c:v>
                </c:pt>
                <c:pt idx="16">
                  <c:v>0.622</c:v>
                </c:pt>
                <c:pt idx="17">
                  <c:v>0.622</c:v>
                </c:pt>
                <c:pt idx="18">
                  <c:v>0.622</c:v>
                </c:pt>
                <c:pt idx="19">
                  <c:v>0.622</c:v>
                </c:pt>
                <c:pt idx="20">
                  <c:v>0.622</c:v>
                </c:pt>
                <c:pt idx="21">
                  <c:v>0.622</c:v>
                </c:pt>
                <c:pt idx="22">
                  <c:v>0.622</c:v>
                </c:pt>
                <c:pt idx="23">
                  <c:v>0.41299999999999998</c:v>
                </c:pt>
                <c:pt idx="24">
                  <c:v>0.41299999999999998</c:v>
                </c:pt>
                <c:pt idx="27">
                  <c:v>0.41299999999999998</c:v>
                </c:pt>
                <c:pt idx="28">
                  <c:v>0.41299999999999998</c:v>
                </c:pt>
                <c:pt idx="29">
                  <c:v>0.41299999999999998</c:v>
                </c:pt>
                <c:pt idx="30">
                  <c:v>0.41299999999999998</c:v>
                </c:pt>
                <c:pt idx="31">
                  <c:v>0.41299999999999998</c:v>
                </c:pt>
                <c:pt idx="32">
                  <c:v>0.41299999999999998</c:v>
                </c:pt>
                <c:pt idx="33">
                  <c:v>0.41299999999999998</c:v>
                </c:pt>
                <c:pt idx="34">
                  <c:v>0.41299999999999998</c:v>
                </c:pt>
                <c:pt idx="35">
                  <c:v>0.41299999999999998</c:v>
                </c:pt>
                <c:pt idx="36">
                  <c:v>0.41299999999999998</c:v>
                </c:pt>
                <c:pt idx="37">
                  <c:v>0.41299999999999998</c:v>
                </c:pt>
                <c:pt idx="38">
                  <c:v>0.41299999999999998</c:v>
                </c:pt>
                <c:pt idx="39">
                  <c:v>0.41299999999999998</c:v>
                </c:pt>
                <c:pt idx="40">
                  <c:v>0.41299999999999998</c:v>
                </c:pt>
                <c:pt idx="41">
                  <c:v>0.41299999999999998</c:v>
                </c:pt>
                <c:pt idx="42">
                  <c:v>0.41299999999999998</c:v>
                </c:pt>
                <c:pt idx="43">
                  <c:v>0.41299999999999998</c:v>
                </c:pt>
                <c:pt idx="44">
                  <c:v>0.41299999999999998</c:v>
                </c:pt>
                <c:pt idx="45">
                  <c:v>0.41299999999999998</c:v>
                </c:pt>
                <c:pt idx="46">
                  <c:v>0.41299999999999998</c:v>
                </c:pt>
                <c:pt idx="47">
                  <c:v>0.41299999999999998</c:v>
                </c:pt>
                <c:pt idx="48">
                  <c:v>0.41299999999999998</c:v>
                </c:pt>
                <c:pt idx="49">
                  <c:v>0.41299999999999998</c:v>
                </c:pt>
                <c:pt idx="50">
                  <c:v>0.41299999999999998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1-4AE0-965B-1C197E2F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250440"/>
        <c:axId val="1815277576"/>
      </c:barChart>
      <c:catAx>
        <c:axId val="181525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277576"/>
        <c:crosses val="autoZero"/>
        <c:auto val="1"/>
        <c:lblAlgn val="ctr"/>
        <c:lblOffset val="100"/>
        <c:noMultiLvlLbl val="0"/>
      </c:catAx>
      <c:valAx>
        <c:axId val="181527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25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IV-IX</c:v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15435356200527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E-42D3-86DE-8E339960C8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BD-4F5B-82D6-6B3793BAF2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E-42D3-86DE-8E339960C8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BD-4F5B-82D6-6B3793BAF2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BD-4F5B-82D6-6B3793BAF2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0-42FC-BD0E-7D651166453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BD-4F5B-82D6-6B3793BAF2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04-813B-D833EBF72B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BD-4F5B-82D6-6B3793BAF2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BD-4F5B-82D6-6B3793BAF27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BD-4F5B-82D6-6B3793BAF27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2-4A04-813B-D833EBF72B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BD-4F5B-82D6-6B3793BAF2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BD-4F5B-82D6-6B3793BAF27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BD-4F5B-82D6-6B3793BAF27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BD-4F5B-82D6-6B3793BAF279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8BD-4F5B-82D6-6B3793BAF27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86-4177-A3AB-B5D48AF4D9C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8BD-4F5B-82D6-6B3793BAF279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8BD-4F5B-82D6-6B3793BAF279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86-4177-A3AB-B5D48AF4D9C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8BD-4F5B-82D6-6B3793BAF279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8BD-4F5B-82D6-6B3793BAF279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86-4177-A3AB-B5D48AF4D9C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8BD-4F5B-82D6-6B3793BAF279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8BD-4F5B-82D6-6B3793BAF279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86-4177-A3AB-B5D48AF4D9C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BD-4F5B-82D6-6B3793BAF279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BD-4F5B-82D6-6B3793BAF279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86-4177-A3AB-B5D48AF4D9CE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BD-4F5B-82D6-6B3793BAF279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8BD-4F5B-82D6-6B3793BAF279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86-4177-A3AB-B5D48AF4D9C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8BD-4F5B-82D6-6B3793BAF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00:00</c:v>
                </c:pt>
                <c:pt idx="2">
                  <c:v>01:00</c:v>
                </c:pt>
                <c:pt idx="3">
                  <c:v>02:00</c:v>
                </c:pt>
                <c:pt idx="4">
                  <c:v>03:00</c:v>
                </c:pt>
                <c:pt idx="5">
                  <c:v>04:00</c:v>
                </c:pt>
                <c:pt idx="6">
                  <c:v>05:00</c:v>
                </c:pt>
                <c:pt idx="7">
                  <c:v>06:00</c:v>
                </c:pt>
                <c:pt idx="8">
                  <c:v>07:00</c:v>
                </c:pt>
                <c:pt idx="9">
                  <c:v>08:00</c:v>
                </c:pt>
                <c:pt idx="10">
                  <c:v>09:00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00:00</c:v>
                </c:pt>
                <c:pt idx="28">
                  <c:v>01:00</c:v>
                </c:pt>
                <c:pt idx="29">
                  <c:v>02:00</c:v>
                </c:pt>
                <c:pt idx="30">
                  <c:v>03:00</c:v>
                </c:pt>
                <c:pt idx="31">
                  <c:v>04:00</c:v>
                </c:pt>
                <c:pt idx="32">
                  <c:v>05:00</c:v>
                </c:pt>
                <c:pt idx="33">
                  <c:v>06:00</c:v>
                </c:pt>
                <c:pt idx="34">
                  <c:v>07:00</c:v>
                </c:pt>
                <c:pt idx="35">
                  <c:v>08:00</c:v>
                </c:pt>
                <c:pt idx="36">
                  <c:v>09:00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2026'!$P$6:$P$56</c:f>
              <c:numCache>
                <c:formatCode>_-* #\ ##0.0000\ [$zł-415]_-;\-* #\ ##0.0000\ [$zł-415]_-;_-* "-"????\ [$zł-415]_-;_-@_-</c:formatCode>
                <c:ptCount val="51"/>
                <c:pt idx="1">
                  <c:v>0.42099999999999999</c:v>
                </c:pt>
                <c:pt idx="2">
                  <c:v>0.42099999999999999</c:v>
                </c:pt>
                <c:pt idx="3">
                  <c:v>0.42099999999999999</c:v>
                </c:pt>
                <c:pt idx="4">
                  <c:v>0.42099999999999999</c:v>
                </c:pt>
                <c:pt idx="5">
                  <c:v>0.42099999999999999</c:v>
                </c:pt>
                <c:pt idx="6">
                  <c:v>0.42099999999999999</c:v>
                </c:pt>
                <c:pt idx="7">
                  <c:v>0.42099999999999999</c:v>
                </c:pt>
                <c:pt idx="8">
                  <c:v>0.46679999999999999</c:v>
                </c:pt>
                <c:pt idx="9">
                  <c:v>0.46679999999999999</c:v>
                </c:pt>
                <c:pt idx="10">
                  <c:v>0.46679999999999999</c:v>
                </c:pt>
                <c:pt idx="11">
                  <c:v>0.46679999999999999</c:v>
                </c:pt>
                <c:pt idx="12">
                  <c:v>0.46679999999999999</c:v>
                </c:pt>
                <c:pt idx="13">
                  <c:v>0.46679999999999999</c:v>
                </c:pt>
                <c:pt idx="14">
                  <c:v>0.42099999999999999</c:v>
                </c:pt>
                <c:pt idx="15">
                  <c:v>0.42099999999999999</c:v>
                </c:pt>
                <c:pt idx="16">
                  <c:v>0.42099999999999999</c:v>
                </c:pt>
                <c:pt idx="17">
                  <c:v>0.42099999999999999</c:v>
                </c:pt>
                <c:pt idx="18">
                  <c:v>0.42099999999999999</c:v>
                </c:pt>
                <c:pt idx="19">
                  <c:v>0.42099999999999999</c:v>
                </c:pt>
                <c:pt idx="20">
                  <c:v>0.77800000000000002</c:v>
                </c:pt>
                <c:pt idx="21">
                  <c:v>0.77800000000000002</c:v>
                </c:pt>
                <c:pt idx="22">
                  <c:v>0.77800000000000002</c:v>
                </c:pt>
                <c:pt idx="23">
                  <c:v>0.42099999999999999</c:v>
                </c:pt>
                <c:pt idx="24">
                  <c:v>0.42099999999999999</c:v>
                </c:pt>
                <c:pt idx="27">
                  <c:v>0.42099999999999999</c:v>
                </c:pt>
                <c:pt idx="28">
                  <c:v>0.42099999999999999</c:v>
                </c:pt>
                <c:pt idx="29">
                  <c:v>0.42099999999999999</c:v>
                </c:pt>
                <c:pt idx="30">
                  <c:v>0.42099999999999999</c:v>
                </c:pt>
                <c:pt idx="31">
                  <c:v>0.42099999999999999</c:v>
                </c:pt>
                <c:pt idx="32">
                  <c:v>0.42099999999999999</c:v>
                </c:pt>
                <c:pt idx="33">
                  <c:v>0.42099999999999999</c:v>
                </c:pt>
                <c:pt idx="34">
                  <c:v>0.42099999999999999</c:v>
                </c:pt>
                <c:pt idx="35">
                  <c:v>0.42099999999999999</c:v>
                </c:pt>
                <c:pt idx="36">
                  <c:v>0.42099999999999999</c:v>
                </c:pt>
                <c:pt idx="37">
                  <c:v>0.42099999999999999</c:v>
                </c:pt>
                <c:pt idx="38">
                  <c:v>0.42099999999999999</c:v>
                </c:pt>
                <c:pt idx="39">
                  <c:v>0.42099999999999999</c:v>
                </c:pt>
                <c:pt idx="40">
                  <c:v>0.42099999999999999</c:v>
                </c:pt>
                <c:pt idx="41">
                  <c:v>0.42099999999999999</c:v>
                </c:pt>
                <c:pt idx="42">
                  <c:v>0.42099999999999999</c:v>
                </c:pt>
                <c:pt idx="43">
                  <c:v>0.42099999999999999</c:v>
                </c:pt>
                <c:pt idx="44">
                  <c:v>0.42099999999999999</c:v>
                </c:pt>
                <c:pt idx="45">
                  <c:v>0.42099999999999999</c:v>
                </c:pt>
                <c:pt idx="46">
                  <c:v>0.42099999999999999</c:v>
                </c:pt>
                <c:pt idx="47">
                  <c:v>0.42099999999999999</c:v>
                </c:pt>
                <c:pt idx="48">
                  <c:v>0.42099999999999999</c:v>
                </c:pt>
                <c:pt idx="49">
                  <c:v>0.42099999999999999</c:v>
                </c:pt>
                <c:pt idx="50">
                  <c:v>0.42099999999999999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F-49C7-8776-28FF6E12FC9D}"/>
            </c:ext>
          </c:extLst>
        </c:ser>
        <c:ser>
          <c:idx val="1"/>
          <c:order val="1"/>
          <c:tx>
            <c:v>X-III</c:v>
          </c:tx>
          <c:spPr>
            <a:solidFill>
              <a:srgbClr val="E3008C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C-4953-A952-E76031833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BD-4F5B-82D6-6B3793BAF2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BD-4F5B-82D6-6B3793BAF2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4E-42D3-86DE-8E339960C8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BD-4F5B-82D6-6B3793BAF2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0-4674-BB32-72FFF383D3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BD-4F5B-82D6-6B3793BAF2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BD-4F5B-82D6-6B3793BAF2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F2-4A04-813B-D833EBF72B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BD-4F5B-82D6-6B3793BAF2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F2-4A04-813B-D833EBF72B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BD-4F5B-82D6-6B3793BAF279}"/>
                </c:ext>
              </c:extLst>
            </c:dLbl>
            <c:dLbl>
              <c:idx val="15"/>
              <c:layout>
                <c:manualLayout>
                  <c:x val="6.92612137203166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F2-4A04-813B-D833EBF72B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BD-4F5B-82D6-6B3793BAF27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BD-4F5B-82D6-6B3793BAF2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36-4005-9C3F-BF92E5119D1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BD-4F5B-82D6-6B3793BAF27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6-4005-9C3F-BF92E5119D1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86-4177-A3AB-B5D48AF4D9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BD-4F5B-82D6-6B3793BAF279}"/>
                </c:ext>
              </c:extLst>
            </c:dLbl>
            <c:dLbl>
              <c:idx val="24"/>
              <c:layout>
                <c:manualLayout>
                  <c:x val="1.5006596306068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6-4177-A3AB-B5D48AF4D9C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86-4177-A3AB-B5D48AF4D9C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BD-4F5B-82D6-6B3793BAF279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BD-4F5B-82D6-6B3793BAF279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86-4177-A3AB-B5D48AF4D9C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BD-4F5B-82D6-6B3793BAF279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BD-4F5B-82D6-6B3793BAF279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86-4177-A3AB-B5D48AF4D9C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8BD-4F5B-82D6-6B3793BAF279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BD-4F5B-82D6-6B3793BAF279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86-4177-A3AB-B5D48AF4D9CE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8BD-4F5B-82D6-6B3793BAF279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BD-4F5B-82D6-6B3793BAF279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86-4177-A3AB-B5D48AF4D9C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8BD-4F5B-82D6-6B3793BAF279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8BD-4F5B-82D6-6B3793BAF279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86-4177-A3AB-B5D48AF4D9C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8BD-4F5B-82D6-6B3793BAF279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8BD-4F5B-82D6-6B3793BAF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02B9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00:00</c:v>
                </c:pt>
                <c:pt idx="2">
                  <c:v>01:00</c:v>
                </c:pt>
                <c:pt idx="3">
                  <c:v>02:00</c:v>
                </c:pt>
                <c:pt idx="4">
                  <c:v>03:00</c:v>
                </c:pt>
                <c:pt idx="5">
                  <c:v>04:00</c:v>
                </c:pt>
                <c:pt idx="6">
                  <c:v>05:00</c:v>
                </c:pt>
                <c:pt idx="7">
                  <c:v>06:00</c:v>
                </c:pt>
                <c:pt idx="8">
                  <c:v>07:00</c:v>
                </c:pt>
                <c:pt idx="9">
                  <c:v>08:00</c:v>
                </c:pt>
                <c:pt idx="10">
                  <c:v>09:00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00:00</c:v>
                </c:pt>
                <c:pt idx="28">
                  <c:v>01:00</c:v>
                </c:pt>
                <c:pt idx="29">
                  <c:v>02:00</c:v>
                </c:pt>
                <c:pt idx="30">
                  <c:v>03:00</c:v>
                </c:pt>
                <c:pt idx="31">
                  <c:v>04:00</c:v>
                </c:pt>
                <c:pt idx="32">
                  <c:v>05:00</c:v>
                </c:pt>
                <c:pt idx="33">
                  <c:v>06:00</c:v>
                </c:pt>
                <c:pt idx="34">
                  <c:v>07:00</c:v>
                </c:pt>
                <c:pt idx="35">
                  <c:v>08:00</c:v>
                </c:pt>
                <c:pt idx="36">
                  <c:v>09:00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2026'!$Q$6:$Q$56</c:f>
              <c:numCache>
                <c:formatCode>_-* #\ ##0.0000\ [$zł-415]_-;\-* #\ ##0.0000\ [$zł-415]_-;_-* "-"????\ [$zł-415]_-;_-@_-</c:formatCode>
                <c:ptCount val="51"/>
                <c:pt idx="1">
                  <c:v>0.42099999999999999</c:v>
                </c:pt>
                <c:pt idx="2">
                  <c:v>0.42099999999999999</c:v>
                </c:pt>
                <c:pt idx="3">
                  <c:v>0.42099999999999999</c:v>
                </c:pt>
                <c:pt idx="4">
                  <c:v>0.42099999999999999</c:v>
                </c:pt>
                <c:pt idx="5">
                  <c:v>0.42099999999999999</c:v>
                </c:pt>
                <c:pt idx="6">
                  <c:v>0.42099999999999999</c:v>
                </c:pt>
                <c:pt idx="7">
                  <c:v>0.42099999999999999</c:v>
                </c:pt>
                <c:pt idx="8">
                  <c:v>0.46679999999999999</c:v>
                </c:pt>
                <c:pt idx="9">
                  <c:v>0.46679999999999999</c:v>
                </c:pt>
                <c:pt idx="10">
                  <c:v>0.46679999999999999</c:v>
                </c:pt>
                <c:pt idx="11">
                  <c:v>0.46679999999999999</c:v>
                </c:pt>
                <c:pt idx="12">
                  <c:v>0.46679999999999999</c:v>
                </c:pt>
                <c:pt idx="13">
                  <c:v>0.46679999999999999</c:v>
                </c:pt>
                <c:pt idx="14">
                  <c:v>0.42099999999999999</c:v>
                </c:pt>
                <c:pt idx="15">
                  <c:v>0.42099999999999999</c:v>
                </c:pt>
                <c:pt idx="16">
                  <c:v>0.42099999999999999</c:v>
                </c:pt>
                <c:pt idx="17">
                  <c:v>0.77800000000000002</c:v>
                </c:pt>
                <c:pt idx="18">
                  <c:v>0.77800000000000002</c:v>
                </c:pt>
                <c:pt idx="19">
                  <c:v>0.77800000000000002</c:v>
                </c:pt>
                <c:pt idx="20">
                  <c:v>0.77800000000000002</c:v>
                </c:pt>
                <c:pt idx="21">
                  <c:v>0.77800000000000002</c:v>
                </c:pt>
                <c:pt idx="22">
                  <c:v>0.42099999999999999</c:v>
                </c:pt>
                <c:pt idx="23">
                  <c:v>0.42099999999999999</c:v>
                </c:pt>
                <c:pt idx="24">
                  <c:v>0.42099999999999999</c:v>
                </c:pt>
                <c:pt idx="27">
                  <c:v>0.42099999999999999</c:v>
                </c:pt>
                <c:pt idx="28">
                  <c:v>0.42099999999999999</c:v>
                </c:pt>
                <c:pt idx="29">
                  <c:v>0.42099999999999999</c:v>
                </c:pt>
                <c:pt idx="30">
                  <c:v>0.42099999999999999</c:v>
                </c:pt>
                <c:pt idx="31">
                  <c:v>0.42099999999999999</c:v>
                </c:pt>
                <c:pt idx="32">
                  <c:v>0.42099999999999999</c:v>
                </c:pt>
                <c:pt idx="33">
                  <c:v>0.42099999999999999</c:v>
                </c:pt>
                <c:pt idx="34">
                  <c:v>0.42099999999999999</c:v>
                </c:pt>
                <c:pt idx="35">
                  <c:v>0.42099999999999999</c:v>
                </c:pt>
                <c:pt idx="36">
                  <c:v>0.42099999999999999</c:v>
                </c:pt>
                <c:pt idx="37">
                  <c:v>0.42099999999999999</c:v>
                </c:pt>
                <c:pt idx="38">
                  <c:v>0.42099999999999999</c:v>
                </c:pt>
                <c:pt idx="39">
                  <c:v>0.42099999999999999</c:v>
                </c:pt>
                <c:pt idx="40">
                  <c:v>0.42099999999999999</c:v>
                </c:pt>
                <c:pt idx="41">
                  <c:v>0.42099999999999999</c:v>
                </c:pt>
                <c:pt idx="42">
                  <c:v>0.42099999999999999</c:v>
                </c:pt>
                <c:pt idx="43">
                  <c:v>0.42099999999999999</c:v>
                </c:pt>
                <c:pt idx="44">
                  <c:v>0.42099999999999999</c:v>
                </c:pt>
                <c:pt idx="45">
                  <c:v>0.42099999999999999</c:v>
                </c:pt>
                <c:pt idx="46">
                  <c:v>0.42099999999999999</c:v>
                </c:pt>
                <c:pt idx="47">
                  <c:v>0.42099999999999999</c:v>
                </c:pt>
                <c:pt idx="48">
                  <c:v>0.42099999999999999</c:v>
                </c:pt>
                <c:pt idx="49">
                  <c:v>0.42099999999999999</c:v>
                </c:pt>
                <c:pt idx="50">
                  <c:v>0.42099999999999999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9F-49C7-8776-28FF6E12F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41639"/>
        <c:axId val="83143687"/>
      </c:barChart>
      <c:catAx>
        <c:axId val="83141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43687"/>
        <c:crosses val="autoZero"/>
        <c:auto val="1"/>
        <c:lblAlgn val="ctr"/>
        <c:lblOffset val="100"/>
        <c:noMultiLvlLbl val="0"/>
      </c:catAx>
      <c:valAx>
        <c:axId val="83143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41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7A-4E2C-BB65-863F5AB20F95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7A-4E2C-BB65-863F5AB20F95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7A-4E2C-BB65-863F5AB20F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'Tauron 2026'!$T$63:$T$65</c:f>
              <c:strCache>
                <c:ptCount val="3"/>
                <c:pt idx="0">
                  <c:v>OPŁATY STAŁE</c:v>
                </c:pt>
                <c:pt idx="1">
                  <c:v>CELE GOSPODARCZE</c:v>
                </c:pt>
                <c:pt idx="2">
                  <c:v>POMPA CIEPŁA (CO+CWU)</c:v>
                </c:pt>
              </c:strCache>
            </c:strRef>
          </c:cat>
          <c:val>
            <c:numRef>
              <c:f>'Tauron 2026'!$U$63:$U$65</c:f>
              <c:numCache>
                <c:formatCode>_-* #\ ##0\ [$zł-415]_-;\-* #\ ##0\ [$zł-415]_-;_-* "-"??\ [$zł-415]_-;_-@_-</c:formatCode>
                <c:ptCount val="3"/>
                <c:pt idx="0">
                  <c:v>583.02</c:v>
                </c:pt>
                <c:pt idx="1">
                  <c:v>3677.5032000000001</c:v>
                </c:pt>
                <c:pt idx="2">
                  <c:v>2969.995095759235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C-4011-9905-D4DBBDAB5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5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6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13" Type="http://schemas.openxmlformats.org/officeDocument/2006/relationships/image" Target="../media/image13.tmp"/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12" Type="http://schemas.openxmlformats.org/officeDocument/2006/relationships/image" Target="../media/image12.png"/><Relationship Id="rId17" Type="http://schemas.openxmlformats.org/officeDocument/2006/relationships/chart" Target="../charts/chart1.xml"/><Relationship Id="rId2" Type="http://schemas.openxmlformats.org/officeDocument/2006/relationships/image" Target="../media/image2.png"/><Relationship Id="rId16" Type="http://schemas.openxmlformats.org/officeDocument/2006/relationships/image" Target="../media/image16.tmp"/><Relationship Id="rId1" Type="http://schemas.openxmlformats.org/officeDocument/2006/relationships/image" Target="../media/image1.pn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tmp"/><Relationship Id="rId14" Type="http://schemas.openxmlformats.org/officeDocument/2006/relationships/image" Target="../media/image14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19.png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tmp"/><Relationship Id="rId7" Type="http://schemas.openxmlformats.org/officeDocument/2006/relationships/image" Target="../media/image16.tmp"/><Relationship Id="rId2" Type="http://schemas.openxmlformats.org/officeDocument/2006/relationships/image" Target="../media/image7.tmp"/><Relationship Id="rId1" Type="http://schemas.openxmlformats.org/officeDocument/2006/relationships/image" Target="../media/image6.tmp"/><Relationship Id="rId6" Type="http://schemas.openxmlformats.org/officeDocument/2006/relationships/image" Target="../media/image13.tmp"/><Relationship Id="rId5" Type="http://schemas.openxmlformats.org/officeDocument/2006/relationships/image" Target="../media/image14.tmp"/><Relationship Id="rId4" Type="http://schemas.openxmlformats.org/officeDocument/2006/relationships/image" Target="../media/image9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133350</xdr:rowOff>
    </xdr:from>
    <xdr:to>
      <xdr:col>3</xdr:col>
      <xdr:colOff>276225</xdr:colOff>
      <xdr:row>2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E4410F-DBFD-C006-7370-E1E93CCC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133350"/>
          <a:ext cx="1038225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19</xdr:row>
      <xdr:rowOff>180975</xdr:rowOff>
    </xdr:from>
    <xdr:to>
      <xdr:col>4</xdr:col>
      <xdr:colOff>600075</xdr:colOff>
      <xdr:row>27</xdr:row>
      <xdr:rowOff>123825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6353CB47-DC89-06D0-78C4-CC5C26511EEB}"/>
            </a:ext>
            <a:ext uri="{147F2762-F138-4A5C-976F-8EAC2B608ADB}">
              <a16:predDERef xmlns:a16="http://schemas.microsoft.com/office/drawing/2014/main" pred="{3CE4410F-DBFD-C006-7370-E1E93CCC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3581400"/>
          <a:ext cx="2533650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30</xdr:row>
      <xdr:rowOff>180975</xdr:rowOff>
    </xdr:from>
    <xdr:to>
      <xdr:col>5</xdr:col>
      <xdr:colOff>0</xdr:colOff>
      <xdr:row>39</xdr:row>
      <xdr:rowOff>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319C0DD-1456-3945-FE08-43E18250C943}"/>
            </a:ext>
            <a:ext uri="{147F2762-F138-4A5C-976F-8EAC2B608ADB}">
              <a16:predDERef xmlns:a16="http://schemas.microsoft.com/office/drawing/2014/main" pred="{6353CB47-DC89-06D0-78C4-CC5C2651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" y="5562600"/>
          <a:ext cx="2543175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86</xdr:row>
      <xdr:rowOff>9525</xdr:rowOff>
    </xdr:from>
    <xdr:to>
      <xdr:col>4</xdr:col>
      <xdr:colOff>571500</xdr:colOff>
      <xdr:row>94</xdr:row>
      <xdr:rowOff>171450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2DEF54FC-DE32-D0DB-F690-841375B0B7F7}"/>
            </a:ext>
            <a:ext uri="{147F2762-F138-4A5C-976F-8EAC2B608ADB}">
              <a16:predDERef xmlns:a16="http://schemas.microsoft.com/office/drawing/2014/main" pred="{A319C0DD-1456-3945-FE08-43E18250C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5" y="15697200"/>
          <a:ext cx="2543175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8</xdr:col>
      <xdr:colOff>66675</xdr:colOff>
      <xdr:row>18</xdr:row>
      <xdr:rowOff>161925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6A30952-9CB8-48C6-BD09-11D68CA2DCD2}"/>
            </a:ext>
            <a:ext uri="{147F2762-F138-4A5C-976F-8EAC2B608ADB}">
              <a16:predDERef xmlns:a16="http://schemas.microsoft.com/office/drawing/2014/main" pred="{2DEF54FC-DE32-D0DB-F690-841375B0B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0" y="581025"/>
          <a:ext cx="5000625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19</xdr:row>
      <xdr:rowOff>180975</xdr:rowOff>
    </xdr:from>
    <xdr:to>
      <xdr:col>5</xdr:col>
      <xdr:colOff>495300</xdr:colOff>
      <xdr:row>22</xdr:row>
      <xdr:rowOff>152400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B86D12BA-3989-5671-CB4B-25B2067E8F0D}"/>
            </a:ext>
            <a:ext uri="{147F2762-F138-4A5C-976F-8EAC2B608ADB}">
              <a16:predDERef xmlns:a16="http://schemas.microsoft.com/office/drawing/2014/main" pred="{D32DB550-4D74-0F48-EBB5-6474AB95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95650" y="3581400"/>
          <a:ext cx="247650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523875</xdr:colOff>
      <xdr:row>33</xdr:row>
      <xdr:rowOff>161925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A99C7AF3-B255-F543-DD7C-AEED26AFCCE2}"/>
            </a:ext>
            <a:ext uri="{147F2762-F138-4A5C-976F-8EAC2B608ADB}">
              <a16:predDERef xmlns:a16="http://schemas.microsoft.com/office/drawing/2014/main" pred="{B86D12BA-3989-5671-CB4B-25B2067E8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38500" y="5572125"/>
          <a:ext cx="333375" cy="542925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20</xdr:row>
      <xdr:rowOff>9525</xdr:rowOff>
    </xdr:from>
    <xdr:to>
      <xdr:col>14</xdr:col>
      <xdr:colOff>504825</xdr:colOff>
      <xdr:row>22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7B48EC68-8CBD-4B4E-A756-5B3CDCED85FB}"/>
            </a:ext>
            <a:ext uri="{147F2762-F138-4A5C-976F-8EAC2B608ADB}">
              <a16:predDERef xmlns:a16="http://schemas.microsoft.com/office/drawing/2014/main" pred="{A99C7AF3-B255-F543-DD7C-AEED26AF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91575" y="3600450"/>
          <a:ext cx="247650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42</xdr:row>
      <xdr:rowOff>47625</xdr:rowOff>
    </xdr:from>
    <xdr:to>
      <xdr:col>5</xdr:col>
      <xdr:colOff>552450</xdr:colOff>
      <xdr:row>44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C9C59AD-A28B-6824-F903-7281EABF1FF7}"/>
            </a:ext>
            <a:ext uri="{147F2762-F138-4A5C-976F-8EAC2B608ADB}">
              <a16:predDERef xmlns:a16="http://schemas.microsoft.com/office/drawing/2014/main" pred="{316DAF3A-2F5D-4E07-A9B9-B1F72F797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95650" y="7600950"/>
          <a:ext cx="3048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42</xdr:row>
      <xdr:rowOff>161925</xdr:rowOff>
    </xdr:from>
    <xdr:to>
      <xdr:col>5</xdr:col>
      <xdr:colOff>438150</xdr:colOff>
      <xdr:row>45</xdr:row>
      <xdr:rowOff>38100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E7B919C-066F-2548-5174-0AE503BE267A}"/>
            </a:ext>
            <a:ext uri="{147F2762-F138-4A5C-976F-8EAC2B608ADB}">
              <a16:predDERef xmlns:a16="http://schemas.microsoft.com/office/drawing/2014/main" pred="{1C9C59AD-A28B-6824-F903-7281EABF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7715250"/>
          <a:ext cx="409575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53</xdr:row>
      <xdr:rowOff>38100</xdr:rowOff>
    </xdr:from>
    <xdr:to>
      <xdr:col>5</xdr:col>
      <xdr:colOff>533400</xdr:colOff>
      <xdr:row>55</xdr:row>
      <xdr:rowOff>142875</xdr:rowOff>
    </xdr:to>
    <xdr:pic>
      <xdr:nvPicPr>
        <xdr:cNvPr id="5" name="Obraz 2">
          <a:extLst>
            <a:ext uri="{FF2B5EF4-FFF2-40B4-BE49-F238E27FC236}">
              <a16:creationId xmlns:a16="http://schemas.microsoft.com/office/drawing/2014/main" id="{C25B9FA4-EE24-4FB9-BA77-2538687FB901}"/>
            </a:ext>
            <a:ext uri="{147F2762-F138-4A5C-976F-8EAC2B608ADB}">
              <a16:predDERef xmlns:a16="http://schemas.microsoft.com/office/drawing/2014/main" pred="{DE7B919C-066F-2548-5174-0AE503BE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90875" y="9572625"/>
          <a:ext cx="39052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41</xdr:row>
      <xdr:rowOff>161925</xdr:rowOff>
    </xdr:from>
    <xdr:to>
      <xdr:col>4</xdr:col>
      <xdr:colOff>600075</xdr:colOff>
      <xdr:row>50</xdr:row>
      <xdr:rowOff>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D32DB550-4D74-0F48-EBB5-6474AB951B1B}"/>
            </a:ext>
            <a:ext uri="{147F2762-F138-4A5C-976F-8EAC2B608ADB}">
              <a16:predDERef xmlns:a16="http://schemas.microsoft.com/office/drawing/2014/main" pred="{C25B9FA4-EE24-4FB9-BA77-2538687F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b="5992"/>
        <a:stretch>
          <a:fillRect/>
        </a:stretch>
      </xdr:blipFill>
      <xdr:spPr>
        <a:xfrm>
          <a:off x="504825" y="7524750"/>
          <a:ext cx="2533650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180975</xdr:rowOff>
    </xdr:from>
    <xdr:to>
      <xdr:col>4</xdr:col>
      <xdr:colOff>571500</xdr:colOff>
      <xdr:row>61</xdr:row>
      <xdr:rowOff>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16DAF3A-2F5D-4E07-A9B9-B1F72F797CFA}"/>
            </a:ext>
            <a:ext uri="{147F2762-F138-4A5C-976F-8EAC2B608ADB}">
              <a16:predDERef xmlns:a16="http://schemas.microsoft.com/office/drawing/2014/main" pred="{D32DB550-4D74-0F48-EBB5-6474AB95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t="6175" b="6667"/>
        <a:stretch>
          <a:fillRect/>
        </a:stretch>
      </xdr:blipFill>
      <xdr:spPr>
        <a:xfrm>
          <a:off x="476250" y="9525000"/>
          <a:ext cx="2533650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75</xdr:row>
      <xdr:rowOff>19050</xdr:rowOff>
    </xdr:from>
    <xdr:to>
      <xdr:col>4</xdr:col>
      <xdr:colOff>561975</xdr:colOff>
      <xdr:row>83</xdr:row>
      <xdr:rowOff>95250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21908F8-7541-414E-E88B-428E5C35EE16}"/>
            </a:ext>
            <a:ext uri="{147F2762-F138-4A5C-976F-8EAC2B608ADB}">
              <a16:predDERef xmlns:a16="http://schemas.microsoft.com/office/drawing/2014/main" pred="{316DAF3A-2F5D-4E07-A9B9-B1F72F797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b="2200"/>
        <a:stretch>
          <a:fillRect/>
        </a:stretch>
      </xdr:blipFill>
      <xdr:spPr>
        <a:xfrm>
          <a:off x="457200" y="13515975"/>
          <a:ext cx="2543175" cy="16954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78</xdr:row>
      <xdr:rowOff>57150</xdr:rowOff>
    </xdr:from>
    <xdr:to>
      <xdr:col>5</xdr:col>
      <xdr:colOff>495300</xdr:colOff>
      <xdr:row>80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CEF3CE1-6F20-BDEF-449B-01EA8B07F83B}"/>
            </a:ext>
            <a:ext uri="{147F2762-F138-4A5C-976F-8EAC2B608ADB}">
              <a16:predDERef xmlns:a16="http://schemas.microsoft.com/office/drawing/2014/main" pred="{A21908F8-7541-414E-E88B-428E5C35E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62300" y="14125575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63</xdr:row>
      <xdr:rowOff>180975</xdr:rowOff>
    </xdr:from>
    <xdr:to>
      <xdr:col>5</xdr:col>
      <xdr:colOff>504825</xdr:colOff>
      <xdr:row>66</xdr:row>
      <xdr:rowOff>161925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D3B008A-C859-CFA8-1C96-BDED15312E6A}"/>
            </a:ext>
            <a:ext uri="{147F2762-F138-4A5C-976F-8EAC2B608ADB}">
              <a16:predDERef xmlns:a16="http://schemas.microsoft.com/office/drawing/2014/main" pred="{2CEF3CE1-6F20-BDEF-449B-01EA8B07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09925" y="1150620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64</xdr:row>
      <xdr:rowOff>28575</xdr:rowOff>
    </xdr:from>
    <xdr:to>
      <xdr:col>4</xdr:col>
      <xdr:colOff>552450</xdr:colOff>
      <xdr:row>72</xdr:row>
      <xdr:rowOff>9525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7EE39215-043B-EE65-4F63-D19CB9147721}"/>
            </a:ext>
            <a:ext uri="{147F2762-F138-4A5C-976F-8EAC2B608ADB}">
              <a16:predDERef xmlns:a16="http://schemas.microsoft.com/office/drawing/2014/main" pred="{CD3B008A-C859-CFA8-1C96-BDED1531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b="12616"/>
        <a:stretch>
          <a:fillRect/>
        </a:stretch>
      </xdr:blipFill>
      <xdr:spPr>
        <a:xfrm>
          <a:off x="457200" y="11544300"/>
          <a:ext cx="2533650" cy="15525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89</xdr:row>
      <xdr:rowOff>28575</xdr:rowOff>
    </xdr:from>
    <xdr:to>
      <xdr:col>5</xdr:col>
      <xdr:colOff>542925</xdr:colOff>
      <xdr:row>91</xdr:row>
      <xdr:rowOff>38100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D92F7F69-DBED-4D49-99E1-026E94727E59}"/>
            </a:ext>
            <a:ext uri="{147F2762-F138-4A5C-976F-8EAC2B608ADB}">
              <a16:predDERef xmlns:a16="http://schemas.microsoft.com/office/drawing/2014/main" pred="{7EE39215-043B-EE65-4F63-D19CB914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71825" y="16287750"/>
          <a:ext cx="419100" cy="390525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119</xdr:row>
      <xdr:rowOff>28575</xdr:rowOff>
    </xdr:from>
    <xdr:to>
      <xdr:col>21</xdr:col>
      <xdr:colOff>314325</xdr:colOff>
      <xdr:row>152</xdr:row>
      <xdr:rowOff>152400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5390B5DB-8319-4856-3CD0-8BB9D85A1A08}"/>
            </a:ext>
            <a:ext uri="{147F2762-F138-4A5C-976F-8EAC2B608ADB}">
              <a16:predDERef xmlns:a16="http://schemas.microsoft.com/office/drawing/2014/main" pred="{D92F7F69-DBED-4D49-99E1-026E94727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5</xdr:col>
      <xdr:colOff>123825</xdr:colOff>
      <xdr:row>75</xdr:row>
      <xdr:rowOff>28575</xdr:rowOff>
    </xdr:from>
    <xdr:to>
      <xdr:col>5</xdr:col>
      <xdr:colOff>466725</xdr:colOff>
      <xdr:row>78</xdr:row>
      <xdr:rowOff>9525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BCCB09A1-5D93-4447-AB7B-2C282CF2C24D}"/>
            </a:ext>
            <a:ext uri="{147F2762-F138-4A5C-976F-8EAC2B608ADB}">
              <a16:predDERef xmlns:a16="http://schemas.microsoft.com/office/drawing/2014/main" pred="{5390B5DB-8319-4856-3CD0-8BB9D85A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1825" y="1352550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86</xdr:row>
      <xdr:rowOff>28575</xdr:rowOff>
    </xdr:from>
    <xdr:to>
      <xdr:col>5</xdr:col>
      <xdr:colOff>466725</xdr:colOff>
      <xdr:row>89</xdr:row>
      <xdr:rowOff>9525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7C6C7589-1AC5-4AAF-9934-80902A8AACC4}"/>
            </a:ext>
            <a:ext uri="{147F2762-F138-4A5C-976F-8EAC2B608ADB}">
              <a16:predDERef xmlns:a16="http://schemas.microsoft.com/office/drawing/2014/main" pred="{BCCB09A1-5D93-4447-AB7B-2C282CF2C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1825" y="15716250"/>
          <a:ext cx="3429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</xdr:row>
      <xdr:rowOff>28575</xdr:rowOff>
    </xdr:from>
    <xdr:to>
      <xdr:col>15</xdr:col>
      <xdr:colOff>228600</xdr:colOff>
      <xdr:row>16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8E162B-E004-9FDB-2174-DF91EDB5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409575"/>
          <a:ext cx="5791200" cy="266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17</xdr:row>
      <xdr:rowOff>180975</xdr:rowOff>
    </xdr:from>
    <xdr:to>
      <xdr:col>15</xdr:col>
      <xdr:colOff>333375</xdr:colOff>
      <xdr:row>31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AF5D49C-E657-7C57-A63C-60A16D5C1F59}"/>
            </a:ext>
            <a:ext uri="{147F2762-F138-4A5C-976F-8EAC2B608ADB}">
              <a16:predDERef xmlns:a16="http://schemas.microsoft.com/office/drawing/2014/main" pred="{0A8E162B-E004-9FDB-2174-DF91EDB5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3419475"/>
          <a:ext cx="5829300" cy="259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28575</xdr:rowOff>
    </xdr:from>
    <xdr:to>
      <xdr:col>24</xdr:col>
      <xdr:colOff>447675</xdr:colOff>
      <xdr:row>19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63DF1AA-9675-4EDB-A023-F36B32F4C6A5}"/>
            </a:ext>
            <a:ext uri="{147F2762-F138-4A5C-976F-8EAC2B608ADB}">
              <a16:predDERef xmlns:a16="http://schemas.microsoft.com/office/drawing/2014/main" pred="{48B4B507-B776-86F6-AD06-2DD7EC584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20</xdr:row>
      <xdr:rowOff>19050</xdr:rowOff>
    </xdr:from>
    <xdr:to>
      <xdr:col>24</xdr:col>
      <xdr:colOff>428625</xdr:colOff>
      <xdr:row>35</xdr:row>
      <xdr:rowOff>104775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37D21B1-C009-4A9D-A0FB-80EE2ACD67A9}"/>
            </a:ext>
            <a:ext uri="{147F2762-F138-4A5C-976F-8EAC2B608ADB}">
              <a16:predDERef xmlns:a16="http://schemas.microsoft.com/office/drawing/2014/main" pred="{763DF1AA-9675-4EDB-A023-F36B32F4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590550</xdr:colOff>
      <xdr:row>36</xdr:row>
      <xdr:rowOff>9525</xdr:rowOff>
    </xdr:from>
    <xdr:to>
      <xdr:col>24</xdr:col>
      <xdr:colOff>400050</xdr:colOff>
      <xdr:row>51</xdr:row>
      <xdr:rowOff>133350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A24124C7-9F2A-4CCD-ADB4-2D048FC590F5}"/>
            </a:ext>
            <a:ext uri="{147F2762-F138-4A5C-976F-8EAC2B608ADB}">
              <a16:predDERef xmlns:a16="http://schemas.microsoft.com/office/drawing/2014/main" pred="{B37D21B1-C009-4A9D-A0FB-80EE2ACD6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52</xdr:row>
      <xdr:rowOff>9525</xdr:rowOff>
    </xdr:from>
    <xdr:to>
      <xdr:col>24</xdr:col>
      <xdr:colOff>400050</xdr:colOff>
      <xdr:row>67</xdr:row>
      <xdr:rowOff>66675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77DCA751-F516-447E-B01C-9E51E4D33761}"/>
            </a:ext>
            <a:ext uri="{147F2762-F138-4A5C-976F-8EAC2B608ADB}">
              <a16:predDERef xmlns:a16="http://schemas.microsoft.com/office/drawing/2014/main" pred="{A24124C7-9F2A-4CCD-ADB4-2D048FC59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171450</xdr:rowOff>
    </xdr:from>
    <xdr:to>
      <xdr:col>1</xdr:col>
      <xdr:colOff>561975</xdr:colOff>
      <xdr:row>3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13C1176-9875-52D9-9F8C-7746F5B018CF}"/>
            </a:ext>
            <a:ext uri="{147F2762-F138-4A5C-976F-8EAC2B608ADB}">
              <a16:predDERef xmlns:a16="http://schemas.microsoft.com/office/drawing/2014/main" pred="{77DCA751-F516-447E-B01C-9E51E4D3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171450"/>
          <a:ext cx="533400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123825</xdr:rowOff>
    </xdr:from>
    <xdr:to>
      <xdr:col>1</xdr:col>
      <xdr:colOff>438150</xdr:colOff>
      <xdr:row>7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A55A55-681F-4E29-97A0-B28095239F7F}"/>
            </a:ext>
            <a:ext uri="{147F2762-F138-4A5C-976F-8EAC2B608ADB}">
              <a16:predDERef xmlns:a16="http://schemas.microsoft.com/office/drawing/2014/main" pred="{A99C7AF3-B255-F543-DD7C-AEED26AF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314325"/>
          <a:ext cx="24765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9</xdr:row>
      <xdr:rowOff>152400</xdr:rowOff>
    </xdr:from>
    <xdr:to>
      <xdr:col>1</xdr:col>
      <xdr:colOff>495300</xdr:colOff>
      <xdr:row>12</xdr:row>
      <xdr:rowOff>28575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8632D3-DF98-4F83-AA4A-551B0D9FC066}"/>
            </a:ext>
            <a:ext uri="{147F2762-F138-4A5C-976F-8EAC2B608ADB}">
              <a16:predDERef xmlns:a16="http://schemas.microsoft.com/office/drawing/2014/main" pred="{35A55A55-681F-4E29-97A0-B2809523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1390650"/>
          <a:ext cx="33337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</xdr:row>
      <xdr:rowOff>161925</xdr:rowOff>
    </xdr:from>
    <xdr:to>
      <xdr:col>1</xdr:col>
      <xdr:colOff>571500</xdr:colOff>
      <xdr:row>17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24E3DD9-43FA-EBB5-BC60-AF6ECCAF4962}"/>
            </a:ext>
            <a:ext uri="{147F2762-F138-4A5C-976F-8EAC2B608ADB}">
              <a16:predDERef xmlns:a16="http://schemas.microsoft.com/office/drawing/2014/main" pred="{FF8632D3-DF98-4F83-AA4A-551B0D9F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2638425"/>
          <a:ext cx="447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15</xdr:row>
      <xdr:rowOff>95250</xdr:rowOff>
    </xdr:from>
    <xdr:to>
      <xdr:col>1</xdr:col>
      <xdr:colOff>466725</xdr:colOff>
      <xdr:row>17</xdr:row>
      <xdr:rowOff>161925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5A5A7C8-B6F4-C738-EA6F-2FCDAEBB6230}"/>
            </a:ext>
            <a:ext uri="{147F2762-F138-4A5C-976F-8EAC2B608ADB}">
              <a16:predDERef xmlns:a16="http://schemas.microsoft.com/office/drawing/2014/main" pred="{E24E3DD9-43FA-EBB5-BC60-AF6ECCAF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" y="2762250"/>
          <a:ext cx="5048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161925</xdr:rowOff>
    </xdr:from>
    <xdr:to>
      <xdr:col>1</xdr:col>
      <xdr:colOff>571500</xdr:colOff>
      <xdr:row>23</xdr:row>
      <xdr:rowOff>47625</xdr:rowOff>
    </xdr:to>
    <xdr:pic>
      <xdr:nvPicPr>
        <xdr:cNvPr id="8" name="Obraz 5">
          <a:extLst>
            <a:ext uri="{FF2B5EF4-FFF2-40B4-BE49-F238E27FC236}">
              <a16:creationId xmlns:a16="http://schemas.microsoft.com/office/drawing/2014/main" id="{636FFD49-734A-4FEB-B24E-A6262B3C300C}"/>
            </a:ext>
            <a:ext uri="{147F2762-F138-4A5C-976F-8EAC2B608ADB}">
              <a16:predDERef xmlns:a16="http://schemas.microsoft.com/office/drawing/2014/main" pred="{25A5A7C8-B6F4-C738-EA6F-2FCDAEBB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2638425"/>
          <a:ext cx="44767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26</xdr:row>
      <xdr:rowOff>152400</xdr:rowOff>
    </xdr:from>
    <xdr:to>
      <xdr:col>1</xdr:col>
      <xdr:colOff>457200</xdr:colOff>
      <xdr:row>29</xdr:row>
      <xdr:rowOff>38100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6E8E3F4-3B1D-4710-A95A-15389DA4A8A6}"/>
            </a:ext>
            <a:ext uri="{147F2762-F138-4A5C-976F-8EAC2B608ADB}">
              <a16:predDERef xmlns:a16="http://schemas.microsoft.com/office/drawing/2014/main" pred="{F0242CB6-9422-4426-B205-73EB1410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" y="558165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31</xdr:row>
      <xdr:rowOff>152400</xdr:rowOff>
    </xdr:from>
    <xdr:to>
      <xdr:col>1</xdr:col>
      <xdr:colOff>457200</xdr:colOff>
      <xdr:row>34</xdr:row>
      <xdr:rowOff>38100</xdr:rowOff>
    </xdr:to>
    <xdr:pic>
      <xdr:nvPicPr>
        <xdr:cNvPr id="10" name="Obraz 4">
          <a:extLst>
            <a:ext uri="{FF2B5EF4-FFF2-40B4-BE49-F238E27FC236}">
              <a16:creationId xmlns:a16="http://schemas.microsoft.com/office/drawing/2014/main" id="{D9230665-E7A8-4248-9032-5DA0CDE0CE0A}"/>
            </a:ext>
            <a:ext uri="{147F2762-F138-4A5C-976F-8EAC2B608ADB}">
              <a16:predDERef xmlns:a16="http://schemas.microsoft.com/office/drawing/2014/main" pred="{A6E8E3F4-3B1D-4710-A95A-15389DA4A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" y="558165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</xdr:row>
      <xdr:rowOff>47625</xdr:rowOff>
    </xdr:from>
    <xdr:to>
      <xdr:col>4</xdr:col>
      <xdr:colOff>390525</xdr:colOff>
      <xdr:row>28</xdr:row>
      <xdr:rowOff>133350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24C2C25-D54F-44BB-AC7B-FC8EF6292904}"/>
            </a:ext>
            <a:ext uri="{147F2762-F138-4A5C-976F-8EAC2B608ADB}">
              <a16:predDERef xmlns:a16="http://schemas.microsoft.com/office/drawing/2014/main" pred="{D9230665-E7A8-4248-9032-5DA0CDE0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7925" y="5667375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32</xdr:row>
      <xdr:rowOff>38100</xdr:rowOff>
    </xdr:from>
    <xdr:to>
      <xdr:col>4</xdr:col>
      <xdr:colOff>409575</xdr:colOff>
      <xdr:row>33</xdr:row>
      <xdr:rowOff>190500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7FC37A54-50D3-4006-91B5-7EF8FC28CD12}"/>
            </a:ext>
            <a:ext uri="{147F2762-F138-4A5C-976F-8EAC2B608ADB}">
              <a16:predDERef xmlns:a16="http://schemas.microsoft.com/office/drawing/2014/main" pred="{324C2C25-D54F-44BB-AC7B-FC8EF629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28875" y="6705600"/>
          <a:ext cx="419100" cy="390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61</xdr:row>
      <xdr:rowOff>133350</xdr:rowOff>
    </xdr:from>
    <xdr:to>
      <xdr:col>26</xdr:col>
      <xdr:colOff>542925</xdr:colOff>
      <xdr:row>77</xdr:row>
      <xdr:rowOff>161925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8B4B507-B776-86F6-AD06-2DD7EC584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wid.pantera@carri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ip.ure.gov.pl/download/3/20343/PSG.pdf" TargetMode="External"/><Relationship Id="rId2" Type="http://schemas.openxmlformats.org/officeDocument/2006/relationships/hyperlink" Target="https://bip.ure.gov.pl/download/3/19661/PGNiGOD.pdf" TargetMode="External"/><Relationship Id="rId1" Type="http://schemas.openxmlformats.org/officeDocument/2006/relationships/hyperlink" Target="https://www.psgaz.pl/mapa-orcs-i-jakosc-gaz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50EC-A8BF-4758-8F3B-E9033EA29E26}">
  <sheetPr>
    <tabColor rgb="FFFF0000"/>
    <pageSetUpPr fitToPage="1"/>
  </sheetPr>
  <dimension ref="A1:X118"/>
  <sheetViews>
    <sheetView showGridLines="0" showRowColHeaders="0" tabSelected="1" zoomScale="80" zoomScaleNormal="80" workbookViewId="0">
      <pane ySplit="3" topLeftCell="A4" activePane="bottomLeft" state="frozen"/>
      <selection pane="bottomLeft" activeCell="M6" sqref="M6"/>
    </sheetView>
  </sheetViews>
  <sheetFormatPr defaultRowHeight="14.4" x14ac:dyDescent="0.3"/>
  <cols>
    <col min="8" max="8" width="10" bestFit="1" customWidth="1"/>
    <col min="9" max="9" width="9.33203125" bestFit="1" customWidth="1"/>
  </cols>
  <sheetData>
    <row r="1" spans="6:23" s="61" customFormat="1" x14ac:dyDescent="0.3"/>
    <row r="2" spans="6:23" s="61" customFormat="1" x14ac:dyDescent="0.3">
      <c r="F2" s="63" t="s">
        <v>0</v>
      </c>
      <c r="K2" s="63" t="s">
        <v>1</v>
      </c>
      <c r="M2" s="154">
        <f>Budynek!C7</f>
        <v>5</v>
      </c>
      <c r="N2" s="62" t="s">
        <v>2</v>
      </c>
      <c r="O2" s="176">
        <v>46079</v>
      </c>
    </row>
    <row r="3" spans="6:23" s="61" customFormat="1" x14ac:dyDescent="0.3">
      <c r="F3" s="153"/>
      <c r="O3" s="155" t="s">
        <v>3</v>
      </c>
    </row>
    <row r="4" spans="6:23" s="65" customFormat="1" x14ac:dyDescent="0.3"/>
    <row r="5" spans="6:23" s="65" customFormat="1" x14ac:dyDescent="0.3"/>
    <row r="6" spans="6:23" s="65" customFormat="1" ht="15.6" x14ac:dyDescent="0.3">
      <c r="I6" s="90" t="s">
        <v>4</v>
      </c>
      <c r="M6" s="177">
        <v>150</v>
      </c>
      <c r="N6" s="88" t="s">
        <v>5</v>
      </c>
      <c r="W6" s="66"/>
    </row>
    <row r="7" spans="6:23" s="65" customFormat="1" ht="5.25" customHeight="1" x14ac:dyDescent="0.3">
      <c r="I7" s="91"/>
      <c r="M7" s="87"/>
      <c r="N7" s="89"/>
    </row>
    <row r="8" spans="6:23" s="65" customFormat="1" ht="15.6" x14ac:dyDescent="0.3">
      <c r="I8" s="90" t="s">
        <v>6</v>
      </c>
      <c r="M8" s="178">
        <v>4</v>
      </c>
      <c r="N8" s="88" t="s">
        <v>7</v>
      </c>
      <c r="W8" s="67"/>
    </row>
    <row r="9" spans="6:23" s="65" customFormat="1" ht="5.25" customHeight="1" x14ac:dyDescent="0.3">
      <c r="I9" s="91"/>
      <c r="M9" s="87"/>
      <c r="N9" s="89"/>
      <c r="W9" s="67"/>
    </row>
    <row r="10" spans="6:23" s="65" customFormat="1" ht="15.6" x14ac:dyDescent="0.3">
      <c r="I10" s="90" t="s">
        <v>8</v>
      </c>
      <c r="M10" s="178">
        <v>60</v>
      </c>
      <c r="N10" s="88" t="s">
        <v>9</v>
      </c>
      <c r="W10" s="67"/>
    </row>
    <row r="11" spans="6:23" s="65" customFormat="1" x14ac:dyDescent="0.3">
      <c r="W11" s="67"/>
    </row>
    <row r="12" spans="6:23" s="65" customFormat="1" x14ac:dyDescent="0.3">
      <c r="I12" s="70" t="s">
        <v>8</v>
      </c>
      <c r="K12" s="71"/>
      <c r="L12" s="71"/>
      <c r="M12" s="72" t="s">
        <v>10</v>
      </c>
    </row>
    <row r="13" spans="6:23" s="65" customFormat="1" x14ac:dyDescent="0.3">
      <c r="I13" s="72" t="s">
        <v>11</v>
      </c>
      <c r="K13" s="71"/>
      <c r="L13" s="71"/>
      <c r="M13" s="72" t="s">
        <v>12</v>
      </c>
    </row>
    <row r="14" spans="6:23" s="65" customFormat="1" x14ac:dyDescent="0.3">
      <c r="I14" s="72" t="s">
        <v>13</v>
      </c>
      <c r="K14" s="71"/>
      <c r="L14" s="71"/>
      <c r="M14" s="72" t="s">
        <v>14</v>
      </c>
    </row>
    <row r="15" spans="6:23" s="65" customFormat="1" x14ac:dyDescent="0.3">
      <c r="I15" s="72" t="s">
        <v>15</v>
      </c>
      <c r="K15" s="71"/>
      <c r="L15" s="71"/>
      <c r="M15" s="72" t="s">
        <v>16</v>
      </c>
    </row>
    <row r="16" spans="6:23" s="65" customFormat="1" x14ac:dyDescent="0.3">
      <c r="I16" s="72" t="s">
        <v>17</v>
      </c>
      <c r="K16" s="71"/>
      <c r="L16" s="71"/>
      <c r="M16" s="72" t="s">
        <v>18</v>
      </c>
    </row>
    <row r="17" spans="7:22" s="65" customFormat="1" x14ac:dyDescent="0.3">
      <c r="I17" s="72" t="s">
        <v>19</v>
      </c>
      <c r="K17" s="71"/>
      <c r="L17" s="71"/>
      <c r="M17" s="72" t="s">
        <v>20</v>
      </c>
    </row>
    <row r="18" spans="7:22" s="65" customFormat="1" x14ac:dyDescent="0.3"/>
    <row r="19" spans="7:22" s="65" customFormat="1" x14ac:dyDescent="0.3"/>
    <row r="21" spans="7:22" x14ac:dyDescent="0.3">
      <c r="G21" s="103" t="s">
        <v>21</v>
      </c>
      <c r="P21" s="105" t="s">
        <v>22</v>
      </c>
    </row>
    <row r="22" spans="7:22" x14ac:dyDescent="0.3">
      <c r="G22" s="80"/>
      <c r="H22" s="81"/>
      <c r="I22" s="165" t="s">
        <v>23</v>
      </c>
      <c r="J22" s="165"/>
      <c r="K22" s="81"/>
      <c r="L22" s="166" t="s">
        <v>24</v>
      </c>
      <c r="M22" s="166"/>
      <c r="P22" s="80"/>
      <c r="Q22" s="81"/>
      <c r="R22" s="165" t="s">
        <v>23</v>
      </c>
      <c r="S22" s="165"/>
      <c r="T22" s="81"/>
      <c r="U22" s="166" t="s">
        <v>24</v>
      </c>
      <c r="V22" s="166"/>
    </row>
    <row r="23" spans="7:22" x14ac:dyDescent="0.3">
      <c r="G23" t="s">
        <v>25</v>
      </c>
      <c r="I23" s="23">
        <f>'PGNiG 2026'!G28</f>
        <v>1268.6553332963972</v>
      </c>
      <c r="J23" s="74" t="s">
        <v>26</v>
      </c>
      <c r="L23" s="23">
        <f>'PGNiG 2026'!E28</f>
        <v>1160.684666632874</v>
      </c>
      <c r="M23" s="74" t="s">
        <v>26</v>
      </c>
      <c r="P23" t="s">
        <v>25</v>
      </c>
      <c r="R23" s="23">
        <f>'PGNiG 2026'!E25/Kalkulacja!R25/Paliwa!I6</f>
        <v>2005.7184894709033</v>
      </c>
      <c r="S23" s="74" t="s">
        <v>27</v>
      </c>
      <c r="U23" s="23">
        <f>'PGNiG 2026'!E25/Kalkulacja!U25/Paliwa!I6</f>
        <v>1835.0190435584861</v>
      </c>
      <c r="V23" s="74" t="s">
        <v>27</v>
      </c>
    </row>
    <row r="24" spans="7:22" x14ac:dyDescent="0.3">
      <c r="G24" t="s">
        <v>28</v>
      </c>
      <c r="I24" s="69" t="str">
        <f>'PGNiG 2026'!G29</f>
        <v>W-3.6</v>
      </c>
      <c r="J24" s="76"/>
      <c r="K24" s="69"/>
      <c r="L24" s="69" t="str">
        <f>'PGNiG 2026'!E29</f>
        <v>W-2.1</v>
      </c>
      <c r="M24" s="74"/>
      <c r="R24" s="69"/>
      <c r="S24" s="76"/>
      <c r="T24" s="69"/>
      <c r="U24" s="69"/>
      <c r="V24" s="74"/>
    </row>
    <row r="25" spans="7:22" x14ac:dyDescent="0.3">
      <c r="G25" t="s">
        <v>29</v>
      </c>
      <c r="I25" s="68">
        <v>0.86</v>
      </c>
      <c r="J25" s="74"/>
      <c r="L25" s="68">
        <v>0.94</v>
      </c>
      <c r="M25" s="74"/>
      <c r="P25" t="s">
        <v>29</v>
      </c>
      <c r="R25" s="68">
        <v>0.86</v>
      </c>
      <c r="S25" s="74"/>
      <c r="U25" s="68">
        <v>0.94</v>
      </c>
      <c r="V25" s="74"/>
    </row>
    <row r="26" spans="7:22" ht="18" x14ac:dyDescent="0.35">
      <c r="G26" s="30" t="s">
        <v>30</v>
      </c>
      <c r="H26" s="30"/>
      <c r="I26" s="92">
        <f>'PGNiG 2026'!H33</f>
        <v>5161.2506965927541</v>
      </c>
      <c r="J26" s="75" t="s">
        <v>31</v>
      </c>
      <c r="K26" s="23"/>
      <c r="L26" s="92">
        <f>'PGNiG 2026'!H32</f>
        <v>4316.4543917367646</v>
      </c>
      <c r="M26" s="75" t="s">
        <v>31</v>
      </c>
      <c r="P26" s="30" t="s">
        <v>30</v>
      </c>
      <c r="Q26" s="30"/>
      <c r="R26" s="92">
        <f>R23*Paliwa!I7</f>
        <v>5214.8680726243483</v>
      </c>
      <c r="S26" s="75" t="s">
        <v>31</v>
      </c>
      <c r="T26" s="23"/>
      <c r="U26" s="92">
        <f>U23*Paliwa!I7</f>
        <v>4771.0495132520646</v>
      </c>
      <c r="V26" s="75" t="s">
        <v>31</v>
      </c>
    </row>
    <row r="27" spans="7:22" x14ac:dyDescent="0.3">
      <c r="G27" s="30" t="s">
        <v>32</v>
      </c>
      <c r="I27" s="73">
        <f>I26/(Budynek!$C$6+Budynek!$C$10)</f>
        <v>0.43114867402328982</v>
      </c>
      <c r="J27" s="74" t="s">
        <v>33</v>
      </c>
      <c r="L27" s="73">
        <f>L26/(Budynek!$C$6+Budynek!$C$10)</f>
        <v>0.36057802592458649</v>
      </c>
      <c r="M27" s="74" t="s">
        <v>33</v>
      </c>
      <c r="P27" s="30" t="s">
        <v>32</v>
      </c>
      <c r="R27" s="73">
        <f>R26/(Budynek!$C$6+Budynek!$C$10)</f>
        <v>0.43562763889819717</v>
      </c>
      <c r="S27" s="74" t="s">
        <v>33</v>
      </c>
      <c r="U27" s="73">
        <f>U26/(Budynek!$C$6+Budynek!$C$10)</f>
        <v>0.39855294622601029</v>
      </c>
      <c r="V27" s="74" t="s">
        <v>33</v>
      </c>
    </row>
    <row r="29" spans="7:22" x14ac:dyDescent="0.3">
      <c r="G29" s="77"/>
      <c r="H29" s="78"/>
      <c r="I29" s="79"/>
      <c r="J29" s="77"/>
      <c r="P29" s="77"/>
      <c r="Q29" s="78"/>
      <c r="R29" s="95"/>
      <c r="S29" s="77"/>
    </row>
    <row r="30" spans="7:22" s="65" customFormat="1" ht="2.25" customHeight="1" x14ac:dyDescent="0.3"/>
    <row r="32" spans="7:22" x14ac:dyDescent="0.3">
      <c r="G32" s="104" t="s">
        <v>34</v>
      </c>
    </row>
    <row r="33" spans="7:13" x14ac:dyDescent="0.3">
      <c r="G33" s="80"/>
      <c r="H33" s="81"/>
      <c r="I33" s="165" t="s">
        <v>23</v>
      </c>
      <c r="J33" s="165"/>
      <c r="K33" s="81"/>
      <c r="L33" s="166" t="s">
        <v>24</v>
      </c>
      <c r="M33" s="166"/>
    </row>
    <row r="34" spans="7:13" x14ac:dyDescent="0.3">
      <c r="G34" t="s">
        <v>25</v>
      </c>
      <c r="I34" s="23">
        <f>'PGNiG 2026'!E25/Kalkulacja!I36/Paliwa!I11</f>
        <v>1411.2336114585314</v>
      </c>
      <c r="J34" s="74" t="s">
        <v>27</v>
      </c>
      <c r="L34" s="23">
        <f>'PGNiG 2026'!E25/Kalkulacja!L36/Paliwa!I11</f>
        <v>1287.1691181434956</v>
      </c>
      <c r="M34" s="74" t="s">
        <v>27</v>
      </c>
    </row>
    <row r="35" spans="7:13" x14ac:dyDescent="0.3">
      <c r="G35" t="s">
        <v>35</v>
      </c>
      <c r="I35" s="118">
        <f>Paliwa!I12</f>
        <v>5.39</v>
      </c>
      <c r="J35" s="74" t="s">
        <v>36</v>
      </c>
      <c r="K35" s="69"/>
      <c r="L35" s="118">
        <f>I35</f>
        <v>5.39</v>
      </c>
      <c r="M35" s="74" t="str">
        <f>J35</f>
        <v>zł / litr</v>
      </c>
    </row>
    <row r="36" spans="7:13" x14ac:dyDescent="0.3">
      <c r="G36" t="s">
        <v>29</v>
      </c>
      <c r="I36" s="68">
        <v>0.83</v>
      </c>
      <c r="J36" s="74"/>
      <c r="L36" s="68">
        <v>0.91</v>
      </c>
      <c r="M36" s="74"/>
    </row>
    <row r="37" spans="7:13" ht="18" x14ac:dyDescent="0.35">
      <c r="G37" s="30" t="s">
        <v>30</v>
      </c>
      <c r="H37" s="30"/>
      <c r="I37" s="92">
        <f>I34*Paliwa!I12</f>
        <v>7606.5491657614839</v>
      </c>
      <c r="J37" s="75" t="s">
        <v>31</v>
      </c>
      <c r="K37" s="23"/>
      <c r="L37" s="92">
        <f>L34*Paliwa!I12</f>
        <v>6937.841546793441</v>
      </c>
      <c r="M37" s="75" t="s">
        <v>31</v>
      </c>
    </row>
    <row r="38" spans="7:13" x14ac:dyDescent="0.3">
      <c r="G38" s="30" t="s">
        <v>32</v>
      </c>
      <c r="I38" s="73">
        <f>I37/(Budynek!$C$6+Budynek!$C$10)</f>
        <v>0.63541838587225608</v>
      </c>
      <c r="J38" s="74" t="s">
        <v>37</v>
      </c>
      <c r="L38" s="73">
        <f>L37/(Budynek!$C$6+Budynek!$C$10)</f>
        <v>0.57955742887249728</v>
      </c>
      <c r="M38" s="74" t="s">
        <v>37</v>
      </c>
    </row>
    <row r="40" spans="7:13" x14ac:dyDescent="0.3">
      <c r="G40" s="77"/>
      <c r="H40" s="78"/>
      <c r="I40" s="95"/>
      <c r="J40" s="77"/>
    </row>
    <row r="41" spans="7:13" s="65" customFormat="1" ht="2.25" customHeight="1" x14ac:dyDescent="0.3"/>
    <row r="43" spans="7:13" x14ac:dyDescent="0.3">
      <c r="G43" s="104" t="s">
        <v>38</v>
      </c>
    </row>
    <row r="44" spans="7:13" x14ac:dyDescent="0.3">
      <c r="G44" s="80"/>
      <c r="H44" s="81"/>
      <c r="I44" s="165" t="s">
        <v>23</v>
      </c>
      <c r="J44" s="165"/>
      <c r="K44" s="106"/>
      <c r="L44" s="167"/>
      <c r="M44" s="167"/>
    </row>
    <row r="45" spans="7:13" x14ac:dyDescent="0.3">
      <c r="G45" t="s">
        <v>25</v>
      </c>
      <c r="I45" s="23">
        <f>'PGNiG 2026'!E25/Kalkulacja!I47/Paliwa!I16</f>
        <v>2840.7523095771567</v>
      </c>
      <c r="J45" s="74" t="s">
        <v>39</v>
      </c>
      <c r="L45" s="23"/>
      <c r="M45" s="74"/>
    </row>
    <row r="46" spans="7:13" x14ac:dyDescent="0.3">
      <c r="G46" t="s">
        <v>35</v>
      </c>
      <c r="I46" s="119">
        <f>Paliwa!I17</f>
        <v>2650</v>
      </c>
      <c r="J46" s="74" t="s">
        <v>40</v>
      </c>
      <c r="K46" s="69"/>
      <c r="L46" s="69"/>
      <c r="M46" s="74"/>
    </row>
    <row r="47" spans="7:13" x14ac:dyDescent="0.3">
      <c r="G47" t="s">
        <v>29</v>
      </c>
      <c r="I47" s="68">
        <f>Paliwa!I18/100</f>
        <v>0.86</v>
      </c>
      <c r="J47" s="74"/>
      <c r="L47" s="68"/>
      <c r="M47" s="74"/>
    </row>
    <row r="48" spans="7:13" ht="18" x14ac:dyDescent="0.35">
      <c r="G48" s="30" t="s">
        <v>30</v>
      </c>
      <c r="H48" s="30"/>
      <c r="I48" s="92">
        <f>I45/1000*Paliwa!I17</f>
        <v>7527.993620379465</v>
      </c>
      <c r="J48" s="75" t="s">
        <v>31</v>
      </c>
      <c r="K48" s="23"/>
      <c r="L48" s="92"/>
      <c r="M48" s="75"/>
    </row>
    <row r="49" spans="7:13" x14ac:dyDescent="0.3">
      <c r="G49" s="30" t="s">
        <v>32</v>
      </c>
      <c r="I49" s="73">
        <f>I48/(Budynek!$C$6+Budynek!$C$10)</f>
        <v>0.6288561936402467</v>
      </c>
      <c r="J49" s="74" t="s">
        <v>37</v>
      </c>
      <c r="L49" s="73"/>
      <c r="M49" s="74"/>
    </row>
    <row r="52" spans="7:13" s="65" customFormat="1" ht="2.25" customHeight="1" x14ac:dyDescent="0.3"/>
    <row r="54" spans="7:13" x14ac:dyDescent="0.3">
      <c r="G54" s="104" t="s">
        <v>41</v>
      </c>
    </row>
    <row r="55" spans="7:13" x14ac:dyDescent="0.3">
      <c r="G55" s="80"/>
      <c r="H55" s="81"/>
      <c r="I55" s="165" t="s">
        <v>23</v>
      </c>
      <c r="J55" s="165"/>
    </row>
    <row r="56" spans="7:13" x14ac:dyDescent="0.3">
      <c r="G56" t="s">
        <v>25</v>
      </c>
      <c r="I56" s="23">
        <f>'PGNiG 2026'!$E$25/Kalkulacja!I58/Paliwa!I22</f>
        <v>7.8756119951040384</v>
      </c>
      <c r="J56" s="74" t="s">
        <v>42</v>
      </c>
    </row>
    <row r="57" spans="7:13" x14ac:dyDescent="0.3">
      <c r="G57" t="s">
        <v>35</v>
      </c>
      <c r="I57" s="119">
        <f>Paliwa!I23</f>
        <v>439</v>
      </c>
      <c r="J57" s="74" t="s">
        <v>43</v>
      </c>
    </row>
    <row r="58" spans="7:13" x14ac:dyDescent="0.3">
      <c r="G58" t="s">
        <v>29</v>
      </c>
      <c r="I58" s="68">
        <f>Paliwa!I24/100</f>
        <v>0.8</v>
      </c>
      <c r="J58" s="74"/>
    </row>
    <row r="59" spans="7:13" ht="18" x14ac:dyDescent="0.35">
      <c r="G59" s="30" t="s">
        <v>30</v>
      </c>
      <c r="H59" s="30"/>
      <c r="I59" s="92">
        <f>I56*Paliwa!I23</f>
        <v>3457.3936658506727</v>
      </c>
      <c r="J59" s="75" t="s">
        <v>31</v>
      </c>
    </row>
    <row r="60" spans="7:13" x14ac:dyDescent="0.3">
      <c r="G60" s="30" t="s">
        <v>32</v>
      </c>
      <c r="I60" s="73">
        <f>I59/(Budynek!$C$6+Budynek!$C$10)</f>
        <v>0.28881578947368419</v>
      </c>
      <c r="J60" s="74" t="s">
        <v>37</v>
      </c>
    </row>
    <row r="63" spans="7:13" s="65" customFormat="1" ht="2.25" customHeight="1" x14ac:dyDescent="0.3"/>
    <row r="65" spans="7:19" x14ac:dyDescent="0.3">
      <c r="G65" s="104" t="s">
        <v>44</v>
      </c>
    </row>
    <row r="66" spans="7:19" x14ac:dyDescent="0.3">
      <c r="G66" s="80"/>
      <c r="H66" s="81"/>
      <c r="I66" s="165" t="s">
        <v>45</v>
      </c>
      <c r="J66" s="165"/>
      <c r="L66" s="165" t="s">
        <v>46</v>
      </c>
      <c r="M66" s="165"/>
      <c r="O66" s="165" t="s">
        <v>47</v>
      </c>
      <c r="P66" s="165"/>
      <c r="R66" s="165" t="s">
        <v>48</v>
      </c>
      <c r="S66" s="165"/>
    </row>
    <row r="67" spans="7:19" x14ac:dyDescent="0.3">
      <c r="G67" t="s">
        <v>49</v>
      </c>
      <c r="I67" s="58">
        <f>Budynek!C12</f>
        <v>3800</v>
      </c>
      <c r="J67" s="74" t="s">
        <v>50</v>
      </c>
    </row>
    <row r="69" spans="7:19" x14ac:dyDescent="0.3">
      <c r="G69" t="s">
        <v>51</v>
      </c>
      <c r="L69" s="119">
        <f>'Tauron 2026'!$U$63</f>
        <v>583.02</v>
      </c>
      <c r="M69" s="74" t="s">
        <v>52</v>
      </c>
      <c r="O69" s="119">
        <f>'Tauron 2026'!$U$63</f>
        <v>583.02</v>
      </c>
      <c r="P69" s="74" t="s">
        <v>52</v>
      </c>
      <c r="R69" s="119">
        <f>'Tauron 2026'!$U$63</f>
        <v>583.02</v>
      </c>
      <c r="S69" s="74" t="s">
        <v>52</v>
      </c>
    </row>
    <row r="70" spans="7:19" x14ac:dyDescent="0.3">
      <c r="G70" t="s">
        <v>53</v>
      </c>
      <c r="J70" s="74"/>
      <c r="L70" s="23">
        <f>'Tauron 2026'!U64</f>
        <v>3677.5032000000001</v>
      </c>
      <c r="M70" s="74" t="s">
        <v>52</v>
      </c>
      <c r="O70" s="23">
        <f>'Tauron 2026'!U68</f>
        <v>3432.333204</v>
      </c>
      <c r="P70" s="74" t="s">
        <v>52</v>
      </c>
      <c r="R70" s="23">
        <f>'Tauron 2026'!U72</f>
        <v>3306.9297839999995</v>
      </c>
      <c r="S70" s="74" t="s">
        <v>52</v>
      </c>
    </row>
    <row r="71" spans="7:19" ht="18" x14ac:dyDescent="0.35">
      <c r="G71" s="30" t="s">
        <v>30</v>
      </c>
      <c r="H71" s="30"/>
      <c r="I71" s="92"/>
      <c r="J71" s="75"/>
      <c r="L71" s="92">
        <f>L70+$L$69</f>
        <v>4260.5231999999996</v>
      </c>
      <c r="M71" s="75" t="s">
        <v>31</v>
      </c>
      <c r="O71" s="92">
        <f>O70+$L$69</f>
        <v>4015.353204</v>
      </c>
      <c r="P71" s="75" t="s">
        <v>31</v>
      </c>
      <c r="R71" s="92">
        <f>R70+$L$69</f>
        <v>3889.9497839999995</v>
      </c>
      <c r="S71" s="75" t="s">
        <v>31</v>
      </c>
    </row>
    <row r="72" spans="7:19" x14ac:dyDescent="0.3">
      <c r="G72" s="30" t="s">
        <v>54</v>
      </c>
      <c r="I72" s="73"/>
      <c r="J72" s="74"/>
      <c r="L72" s="73">
        <f>L71/Budynek!$C$12</f>
        <v>1.1211903157894736</v>
      </c>
      <c r="M72" s="94" t="s">
        <v>55</v>
      </c>
      <c r="O72" s="73">
        <f>O71/Budynek!$C$12</f>
        <v>1.0566718957894736</v>
      </c>
      <c r="P72" s="94" t="s">
        <v>55</v>
      </c>
      <c r="R72" s="73">
        <f>R71/Budynek!$C$12</f>
        <v>1.0236709957894736</v>
      </c>
      <c r="S72" s="94" t="s">
        <v>55</v>
      </c>
    </row>
    <row r="74" spans="7:19" ht="2.25" customHeight="1" x14ac:dyDescent="0.3"/>
    <row r="76" spans="7:19" x14ac:dyDescent="0.3">
      <c r="G76" s="104" t="s">
        <v>56</v>
      </c>
    </row>
    <row r="77" spans="7:19" x14ac:dyDescent="0.3">
      <c r="G77" s="80"/>
      <c r="H77" s="168" t="s">
        <v>57</v>
      </c>
      <c r="I77" s="168"/>
      <c r="J77" s="168"/>
      <c r="L77" s="165" t="s">
        <v>46</v>
      </c>
      <c r="M77" s="165"/>
      <c r="O77" s="165" t="s">
        <v>47</v>
      </c>
      <c r="P77" s="165"/>
      <c r="R77" s="165" t="s">
        <v>48</v>
      </c>
      <c r="S77" s="165"/>
    </row>
    <row r="78" spans="7:19" x14ac:dyDescent="0.3">
      <c r="G78" t="s">
        <v>49</v>
      </c>
      <c r="I78" s="58">
        <f>'Tauron 2026'!D65</f>
        <v>3068.9249607954362</v>
      </c>
      <c r="J78" s="74" t="s">
        <v>50</v>
      </c>
    </row>
    <row r="79" spans="7:19" x14ac:dyDescent="0.3">
      <c r="G79" t="s">
        <v>58</v>
      </c>
      <c r="I79" s="69" t="str">
        <f>Budynek!C15&amp;" / "&amp;Budynek!D15</f>
        <v>4.1 / 3.4</v>
      </c>
      <c r="J79" s="74" t="s">
        <v>59</v>
      </c>
    </row>
    <row r="80" spans="7:19" x14ac:dyDescent="0.3">
      <c r="G80" t="s">
        <v>51</v>
      </c>
      <c r="L80" s="164" t="s">
        <v>60</v>
      </c>
      <c r="M80" s="164"/>
      <c r="N80" s="164"/>
      <c r="O80" s="164"/>
      <c r="P80" s="164"/>
      <c r="Q80" s="164"/>
      <c r="R80" s="164"/>
      <c r="S80" s="164"/>
    </row>
    <row r="81" spans="7:19" x14ac:dyDescent="0.3">
      <c r="G81" t="s">
        <v>53</v>
      </c>
      <c r="J81" s="74"/>
      <c r="L81" s="23">
        <f>'Tauron 2026'!U65</f>
        <v>2969.995095759235</v>
      </c>
      <c r="M81" s="74" t="s">
        <v>52</v>
      </c>
      <c r="O81" s="23">
        <f>'Tauron 2026'!U69</f>
        <v>2774.6905730848157</v>
      </c>
      <c r="P81" s="74" t="s">
        <v>52</v>
      </c>
      <c r="R81" s="23">
        <f>'Tauron 2026'!U73</f>
        <v>2670.7156204514363</v>
      </c>
      <c r="S81" s="74" t="s">
        <v>52</v>
      </c>
    </row>
    <row r="82" spans="7:19" ht="18" x14ac:dyDescent="0.35">
      <c r="G82" s="30" t="s">
        <v>30</v>
      </c>
      <c r="H82" s="30"/>
      <c r="I82" s="92"/>
      <c r="J82" s="75"/>
      <c r="L82" s="92">
        <f>L81</f>
        <v>2969.995095759235</v>
      </c>
      <c r="M82" s="75" t="s">
        <v>31</v>
      </c>
      <c r="O82" s="92">
        <f>O81</f>
        <v>2774.6905730848157</v>
      </c>
      <c r="P82" s="75" t="s">
        <v>31</v>
      </c>
      <c r="R82" s="92">
        <f>R81</f>
        <v>2670.7156204514363</v>
      </c>
      <c r="S82" s="75" t="s">
        <v>31</v>
      </c>
    </row>
    <row r="83" spans="7:19" ht="18" x14ac:dyDescent="0.35">
      <c r="G83" s="30" t="s">
        <v>54</v>
      </c>
      <c r="H83" s="30"/>
      <c r="I83" s="92"/>
      <c r="J83" s="75"/>
      <c r="L83" s="73">
        <f>L82/$I$78</f>
        <v>0.96776400000000018</v>
      </c>
      <c r="M83" s="94" t="s">
        <v>55</v>
      </c>
      <c r="O83" s="73">
        <f>O82/$I$78</f>
        <v>0.9041246066719214</v>
      </c>
      <c r="P83" s="94" t="s">
        <v>55</v>
      </c>
      <c r="R83" s="73">
        <f>R82/$I$78</f>
        <v>0.87024467999999977</v>
      </c>
      <c r="S83" s="94" t="s">
        <v>55</v>
      </c>
    </row>
    <row r="84" spans="7:19" x14ac:dyDescent="0.3">
      <c r="G84" s="30" t="s">
        <v>32</v>
      </c>
      <c r="I84" s="73"/>
      <c r="J84" s="74"/>
      <c r="L84" s="73">
        <f>L82/(Budynek!$C$6+Budynek!$C$10)</f>
        <v>0.24810061023340865</v>
      </c>
      <c r="M84" s="94" t="s">
        <v>61</v>
      </c>
      <c r="O84" s="73">
        <f>O82/(Budynek!$C$6+Budynek!$C$10)</f>
        <v>0.2317857108162158</v>
      </c>
      <c r="P84" s="94" t="s">
        <v>61</v>
      </c>
      <c r="R84" s="73">
        <f>R82/(Budynek!$C$6+Budynek!$C$10)</f>
        <v>0.22310009068365569</v>
      </c>
      <c r="S84" s="94" t="s">
        <v>61</v>
      </c>
    </row>
    <row r="87" spans="7:19" x14ac:dyDescent="0.3">
      <c r="G87" s="104" t="s">
        <v>62</v>
      </c>
    </row>
    <row r="88" spans="7:19" x14ac:dyDescent="0.3">
      <c r="G88" s="80"/>
      <c r="H88" s="168" t="s">
        <v>57</v>
      </c>
      <c r="I88" s="168"/>
      <c r="J88" s="168"/>
      <c r="L88" s="165" t="s">
        <v>46</v>
      </c>
      <c r="M88" s="165"/>
      <c r="O88" s="165" t="s">
        <v>47</v>
      </c>
      <c r="P88" s="165"/>
      <c r="R88" s="165" t="s">
        <v>48</v>
      </c>
      <c r="S88" s="165"/>
    </row>
    <row r="89" spans="7:19" x14ac:dyDescent="0.3">
      <c r="G89" t="s">
        <v>49</v>
      </c>
      <c r="I89" s="58">
        <f>'Tauron 2026'!D84</f>
        <v>3456.8911333145497</v>
      </c>
      <c r="J89" s="74" t="s">
        <v>50</v>
      </c>
    </row>
    <row r="90" spans="7:19" x14ac:dyDescent="0.3">
      <c r="G90" t="s">
        <v>58</v>
      </c>
      <c r="I90" s="69" t="str">
        <f>Budynek!C14&amp;" / "&amp;Budynek!D14</f>
        <v>3.7 / 2.9</v>
      </c>
      <c r="J90" s="74" t="s">
        <v>59</v>
      </c>
    </row>
    <row r="91" spans="7:19" x14ac:dyDescent="0.3">
      <c r="G91" t="s">
        <v>51</v>
      </c>
      <c r="L91" s="164" t="s">
        <v>60</v>
      </c>
      <c r="M91" s="164"/>
      <c r="N91" s="164"/>
      <c r="O91" s="164"/>
      <c r="P91" s="164"/>
      <c r="Q91" s="164"/>
      <c r="R91" s="164"/>
      <c r="S91" s="164"/>
    </row>
    <row r="92" spans="7:19" x14ac:dyDescent="0.3">
      <c r="G92" t="s">
        <v>53</v>
      </c>
      <c r="J92" s="74"/>
      <c r="L92" s="23">
        <f>'Tauron 2026'!U76</f>
        <v>3216.7916939999996</v>
      </c>
      <c r="M92" s="74" t="s">
        <v>52</v>
      </c>
      <c r="O92" s="23">
        <f>'Tauron 2026'!U80</f>
        <v>0</v>
      </c>
      <c r="P92" s="74" t="s">
        <v>52</v>
      </c>
      <c r="R92" s="23">
        <f>'Tauron 2026'!U84</f>
        <v>3345.4547907410215</v>
      </c>
      <c r="S92" s="74" t="s">
        <v>52</v>
      </c>
    </row>
    <row r="93" spans="7:19" ht="18" x14ac:dyDescent="0.35">
      <c r="G93" s="30" t="s">
        <v>30</v>
      </c>
      <c r="H93" s="30"/>
      <c r="I93" s="92"/>
      <c r="J93" s="75"/>
      <c r="L93" s="92">
        <f>'Tauron 2026'!U84</f>
        <v>3345.4547907410215</v>
      </c>
      <c r="M93" s="75" t="s">
        <v>31</v>
      </c>
      <c r="O93" s="92">
        <f>'Tauron 2026'!U88</f>
        <v>3123.6877084256271</v>
      </c>
      <c r="P93" s="75" t="s">
        <v>31</v>
      </c>
      <c r="R93" s="92">
        <f>'Tauron 2026'!U92</f>
        <v>3008.3411181061574</v>
      </c>
      <c r="S93" s="75" t="s">
        <v>31</v>
      </c>
    </row>
    <row r="94" spans="7:19" ht="18" x14ac:dyDescent="0.35">
      <c r="G94" s="30" t="s">
        <v>54</v>
      </c>
      <c r="H94" s="30"/>
      <c r="I94" s="92"/>
      <c r="J94" s="75"/>
      <c r="L94" s="73">
        <f>L93/$I$89</f>
        <v>0.96776399999999985</v>
      </c>
      <c r="M94" s="94" t="s">
        <v>55</v>
      </c>
      <c r="O94" s="73">
        <f>O93/$I$89</f>
        <v>0.90361182575933796</v>
      </c>
      <c r="P94" s="94" t="s">
        <v>55</v>
      </c>
      <c r="R94" s="73">
        <f>R93/$I$89</f>
        <v>0.87024467999999988</v>
      </c>
      <c r="S94" s="94" t="s">
        <v>55</v>
      </c>
    </row>
    <row r="95" spans="7:19" x14ac:dyDescent="0.3">
      <c r="G95" s="30" t="s">
        <v>32</v>
      </c>
      <c r="I95" s="73"/>
      <c r="J95" s="74"/>
      <c r="L95" s="73">
        <f>L93/(Budynek!$C$6+Budynek!$C$10)</f>
        <v>0.27946489752669046</v>
      </c>
      <c r="M95" s="94" t="s">
        <v>61</v>
      </c>
      <c r="O95" s="73">
        <f>O93/(Budynek!$C$6+Budynek!$C$10)</f>
        <v>0.26093942974706552</v>
      </c>
      <c r="P95" s="94" t="s">
        <v>61</v>
      </c>
      <c r="R95" s="73">
        <f>R93/(Budynek!$C$6+Budynek!$C$10)</f>
        <v>0.25130387193504572</v>
      </c>
      <c r="S95" s="94" t="s">
        <v>61</v>
      </c>
    </row>
    <row r="97" spans="1:24" s="65" customFormat="1" ht="2.25" customHeight="1" x14ac:dyDescent="0.3"/>
    <row r="98" spans="1:24" x14ac:dyDescent="0.3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</row>
    <row r="99" spans="1:24" x14ac:dyDescent="0.3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</row>
    <row r="100" spans="1:24" s="122" customFormat="1" ht="18" x14ac:dyDescent="0.35">
      <c r="A100" s="124"/>
      <c r="B100" s="160" t="s">
        <v>63</v>
      </c>
      <c r="C100" s="160"/>
      <c r="D100" s="160"/>
      <c r="E100" s="160"/>
      <c r="F100" s="160"/>
      <c r="G100" s="124"/>
      <c r="H100" s="124"/>
      <c r="I100" s="124"/>
      <c r="J100" s="136"/>
      <c r="K100" s="162" t="s">
        <v>64</v>
      </c>
      <c r="L100" s="162"/>
      <c r="M100" s="162"/>
      <c r="N100" s="124"/>
      <c r="O100" s="124"/>
      <c r="P100" s="124"/>
      <c r="Q100" s="124"/>
      <c r="R100" s="124"/>
      <c r="S100" s="124"/>
      <c r="T100" s="124"/>
    </row>
    <row r="101" spans="1:24" s="122" customFormat="1" ht="18" x14ac:dyDescent="0.35">
      <c r="A101" s="124"/>
      <c r="B101" s="161"/>
      <c r="C101" s="161"/>
      <c r="D101" s="161"/>
      <c r="E101" s="161"/>
      <c r="F101" s="161"/>
      <c r="G101" s="126"/>
      <c r="H101" s="139" t="s">
        <v>65</v>
      </c>
      <c r="I101" s="126"/>
      <c r="J101" s="125"/>
      <c r="K101" s="163"/>
      <c r="L101" s="163"/>
      <c r="M101" s="163"/>
      <c r="N101" s="124"/>
      <c r="O101" s="124"/>
      <c r="P101" s="124"/>
      <c r="Q101" s="124"/>
      <c r="R101" s="124"/>
      <c r="S101" s="124"/>
      <c r="T101" s="124"/>
    </row>
    <row r="102" spans="1:24" ht="18" x14ac:dyDescent="0.35">
      <c r="A102" s="93"/>
      <c r="B102" s="127" t="str">
        <f>G21</f>
        <v>Gaz ziemny (E)</v>
      </c>
      <c r="C102" s="93"/>
      <c r="D102" s="93"/>
      <c r="E102" s="93" t="str">
        <f>I22</f>
        <v>Kocioł tradycyjny</v>
      </c>
      <c r="F102" s="93"/>
      <c r="G102" s="93"/>
      <c r="H102" s="137">
        <f>I26</f>
        <v>5161.2506965927541</v>
      </c>
      <c r="I102" s="128"/>
      <c r="K102" s="157">
        <f>I27</f>
        <v>0.43114867402328982</v>
      </c>
      <c r="L102" s="128" t="str">
        <f>J27</f>
        <v>zł / kWh</v>
      </c>
      <c r="N102" s="93"/>
      <c r="O102" s="93"/>
      <c r="P102" s="93"/>
      <c r="Q102" s="133">
        <f t="shared" ref="Q102:Q115" si="0">ROUND(K102,3)</f>
        <v>0.43099999999999999</v>
      </c>
      <c r="R102" s="134" t="str">
        <f>B102&amp;" - "&amp;E102</f>
        <v>Gaz ziemny (E) - Kocioł tradycyjny</v>
      </c>
      <c r="S102" s="135"/>
      <c r="T102" s="134"/>
      <c r="U102" s="135"/>
      <c r="V102" s="135"/>
      <c r="W102" s="134" cm="1">
        <f t="array" ref="W102:W115">ROUND( _xlfn._xlws.SORT(Q102:Q115),3)</f>
        <v>0.223</v>
      </c>
      <c r="X102" s="135" t="str">
        <f>VLOOKUP(W102,$Q$102:$R$115,2,0)</f>
        <v>Pompa ciepła grunt / woda - G12w</v>
      </c>
    </row>
    <row r="103" spans="1:24" ht="18" x14ac:dyDescent="0.35">
      <c r="A103" s="93"/>
      <c r="B103" s="129"/>
      <c r="C103" s="130"/>
      <c r="D103" s="130"/>
      <c r="E103" s="130" t="str">
        <f>L22</f>
        <v>Kocioł kondensacyjny</v>
      </c>
      <c r="F103" s="130"/>
      <c r="G103" s="130"/>
      <c r="H103" s="138">
        <f>L26</f>
        <v>4316.4543917367646</v>
      </c>
      <c r="I103" s="131"/>
      <c r="J103" s="80"/>
      <c r="K103" s="158">
        <f>L27</f>
        <v>0.36057802592458649</v>
      </c>
      <c r="L103" s="132" t="s">
        <v>33</v>
      </c>
      <c r="M103" s="80"/>
      <c r="N103" s="93"/>
      <c r="O103" s="93"/>
      <c r="P103" s="93"/>
      <c r="Q103" s="133">
        <f t="shared" si="0"/>
        <v>0.36099999999999999</v>
      </c>
      <c r="R103" s="134" t="str">
        <f>B102&amp;" - "&amp;E103</f>
        <v>Gaz ziemny (E) - Kocioł kondensacyjny</v>
      </c>
      <c r="S103" s="135"/>
      <c r="T103" s="134"/>
      <c r="U103" s="135"/>
      <c r="V103" s="135"/>
      <c r="W103" s="134">
        <v>0.23200000000000001</v>
      </c>
      <c r="X103" s="135" t="str">
        <f t="shared" ref="X103:X115" si="1">VLOOKUP(W103,$Q$102:$R$115,2,0)</f>
        <v>Pompa ciepła grunt / woda - G12</v>
      </c>
    </row>
    <row r="104" spans="1:24" ht="18" x14ac:dyDescent="0.35">
      <c r="A104" s="93"/>
      <c r="B104" s="127" t="str">
        <f>P21</f>
        <v>Gaz płynny</v>
      </c>
      <c r="C104" s="93"/>
      <c r="D104" s="93"/>
      <c r="E104" s="93" t="str">
        <f>R22</f>
        <v>Kocioł tradycyjny</v>
      </c>
      <c r="F104" s="93"/>
      <c r="G104" s="93"/>
      <c r="H104" s="137">
        <f>R26</f>
        <v>5214.8680726243483</v>
      </c>
      <c r="I104" s="128"/>
      <c r="K104" s="157">
        <f>R27</f>
        <v>0.43562763889819717</v>
      </c>
      <c r="L104" s="94" t="s">
        <v>33</v>
      </c>
      <c r="N104" s="93"/>
      <c r="O104" s="93"/>
      <c r="P104" s="93"/>
      <c r="Q104" s="133">
        <f t="shared" si="0"/>
        <v>0.436</v>
      </c>
      <c r="R104" s="134" t="str">
        <f>B104&amp;" - "&amp;E104</f>
        <v>Gaz płynny - Kocioł tradycyjny</v>
      </c>
      <c r="S104" s="135"/>
      <c r="T104" s="134"/>
      <c r="U104" s="135"/>
      <c r="V104" s="135"/>
      <c r="W104" s="134">
        <v>0.248</v>
      </c>
      <c r="X104" s="135" t="str">
        <f t="shared" si="1"/>
        <v>Pompa ciepła grunt / woda - G11</v>
      </c>
    </row>
    <row r="105" spans="1:24" ht="18" x14ac:dyDescent="0.35">
      <c r="A105" s="93"/>
      <c r="B105" s="129"/>
      <c r="C105" s="130"/>
      <c r="D105" s="130"/>
      <c r="E105" s="130" t="str">
        <f>U22</f>
        <v>Kocioł kondensacyjny</v>
      </c>
      <c r="F105" s="130"/>
      <c r="G105" s="130"/>
      <c r="H105" s="138">
        <f>U26</f>
        <v>4771.0495132520646</v>
      </c>
      <c r="I105" s="131"/>
      <c r="J105" s="80"/>
      <c r="K105" s="158">
        <f>U27</f>
        <v>0.39855294622601029</v>
      </c>
      <c r="L105" s="132" t="s">
        <v>33</v>
      </c>
      <c r="M105" s="80"/>
      <c r="N105" s="93"/>
      <c r="O105" s="93"/>
      <c r="P105" s="93"/>
      <c r="Q105" s="133">
        <f t="shared" si="0"/>
        <v>0.39900000000000002</v>
      </c>
      <c r="R105" s="134" t="str">
        <f>B104&amp;" - "&amp;E105</f>
        <v>Gaz płynny - Kocioł kondensacyjny</v>
      </c>
      <c r="S105" s="135"/>
      <c r="T105" s="134"/>
      <c r="U105" s="135"/>
      <c r="V105" s="135"/>
      <c r="W105" s="134">
        <v>0.251</v>
      </c>
      <c r="X105" s="135" t="str">
        <f t="shared" si="1"/>
        <v>Pompa ciepła powietrze / woda - G12w</v>
      </c>
    </row>
    <row r="106" spans="1:24" ht="18" x14ac:dyDescent="0.35">
      <c r="A106" s="93"/>
      <c r="B106" s="127" t="str">
        <f>G32</f>
        <v>Olej opałowy</v>
      </c>
      <c r="C106" s="93"/>
      <c r="D106" s="93"/>
      <c r="E106" s="93" t="str">
        <f>I33</f>
        <v>Kocioł tradycyjny</v>
      </c>
      <c r="F106" s="93"/>
      <c r="G106" s="93"/>
      <c r="H106" s="137">
        <f>I37</f>
        <v>7606.5491657614839</v>
      </c>
      <c r="I106" s="128"/>
      <c r="K106" s="157">
        <f>I38</f>
        <v>0.63541838587225608</v>
      </c>
      <c r="L106" s="94" t="s">
        <v>33</v>
      </c>
      <c r="N106" s="93"/>
      <c r="O106" s="93"/>
      <c r="P106" s="93"/>
      <c r="Q106" s="133">
        <f t="shared" si="0"/>
        <v>0.63500000000000001</v>
      </c>
      <c r="R106" s="134" t="str">
        <f>B106&amp;" - "&amp;E106</f>
        <v>Olej opałowy - Kocioł tradycyjny</v>
      </c>
      <c r="S106" s="135"/>
      <c r="T106" s="134"/>
      <c r="U106" s="135"/>
      <c r="V106" s="135"/>
      <c r="W106" s="134">
        <v>0.26100000000000001</v>
      </c>
      <c r="X106" s="135" t="str">
        <f t="shared" si="1"/>
        <v>Pompa ciepła powietrze / woda - G12</v>
      </c>
    </row>
    <row r="107" spans="1:24" ht="18" x14ac:dyDescent="0.35">
      <c r="A107" s="93"/>
      <c r="B107" s="129"/>
      <c r="C107" s="130"/>
      <c r="D107" s="130"/>
      <c r="E107" s="130" t="str">
        <f>L33</f>
        <v>Kocioł kondensacyjny</v>
      </c>
      <c r="F107" s="130"/>
      <c r="G107" s="130"/>
      <c r="H107" s="138">
        <f>L37</f>
        <v>6937.841546793441</v>
      </c>
      <c r="I107" s="131"/>
      <c r="J107" s="80"/>
      <c r="K107" s="158">
        <f>L38</f>
        <v>0.57955742887249728</v>
      </c>
      <c r="L107" s="132" t="s">
        <v>33</v>
      </c>
      <c r="M107" s="80"/>
      <c r="N107" s="93"/>
      <c r="O107" s="93"/>
      <c r="P107" s="93"/>
      <c r="Q107" s="133">
        <f t="shared" si="0"/>
        <v>0.57999999999999996</v>
      </c>
      <c r="R107" s="134" t="str">
        <f>B106&amp;" - "&amp;E107</f>
        <v>Olej opałowy - Kocioł kondensacyjny</v>
      </c>
      <c r="S107" s="135"/>
      <c r="T107" s="134"/>
      <c r="U107" s="135"/>
      <c r="V107" s="135"/>
      <c r="W107" s="134">
        <v>0.27900000000000003</v>
      </c>
      <c r="X107" s="135" t="str">
        <f t="shared" si="1"/>
        <v>Pompa ciepła powietrze / woda - G11</v>
      </c>
    </row>
    <row r="108" spans="1:24" ht="18" x14ac:dyDescent="0.35">
      <c r="A108" s="93"/>
      <c r="B108" s="127" t="s">
        <v>66</v>
      </c>
      <c r="C108" s="93"/>
      <c r="D108" s="93"/>
      <c r="E108" s="130" t="s">
        <v>67</v>
      </c>
      <c r="F108" s="130"/>
      <c r="G108" s="130"/>
      <c r="H108" s="138">
        <f>I48</f>
        <v>7527.993620379465</v>
      </c>
      <c r="I108" s="131"/>
      <c r="J108" s="159" t="s">
        <v>68</v>
      </c>
      <c r="K108" s="158">
        <f>I49</f>
        <v>0.6288561936402467</v>
      </c>
      <c r="L108" s="132" t="s">
        <v>33</v>
      </c>
      <c r="M108" s="80"/>
      <c r="N108" s="93"/>
      <c r="O108" s="93"/>
      <c r="P108" s="93"/>
      <c r="Q108" s="133">
        <f t="shared" si="0"/>
        <v>0.629</v>
      </c>
      <c r="R108" s="134" t="str">
        <f>B108</f>
        <v>Drewno</v>
      </c>
      <c r="S108" s="135"/>
      <c r="T108" s="134"/>
      <c r="U108" s="135"/>
      <c r="V108" s="135"/>
      <c r="W108" s="134">
        <v>0.28899999999999998</v>
      </c>
      <c r="X108" s="135">
        <f t="shared" si="1"/>
        <v>0</v>
      </c>
    </row>
    <row r="109" spans="1:24" ht="18" x14ac:dyDescent="0.35">
      <c r="A109" s="93"/>
      <c r="B109" s="129"/>
      <c r="C109" s="130"/>
      <c r="D109" s="130"/>
      <c r="E109" s="130" t="s">
        <v>69</v>
      </c>
      <c r="F109" s="130"/>
      <c r="G109" s="130"/>
      <c r="H109" s="138">
        <f>I59</f>
        <v>3457.3936658506727</v>
      </c>
      <c r="I109" s="131"/>
      <c r="J109" s="159" t="s">
        <v>68</v>
      </c>
      <c r="K109" s="158">
        <f>I60</f>
        <v>0.28881578947368419</v>
      </c>
      <c r="L109" s="132" t="s">
        <v>33</v>
      </c>
      <c r="M109" s="80"/>
      <c r="N109" s="93"/>
      <c r="O109" s="93"/>
      <c r="P109" s="93"/>
      <c r="Q109" s="133">
        <f t="shared" si="0"/>
        <v>0.28899999999999998</v>
      </c>
      <c r="R109" s="134">
        <f>B109</f>
        <v>0</v>
      </c>
      <c r="S109" s="135"/>
      <c r="T109" s="134"/>
      <c r="U109" s="135"/>
      <c r="V109" s="135"/>
      <c r="W109" s="134">
        <v>0.36099999999999999</v>
      </c>
      <c r="X109" s="135" t="str">
        <f t="shared" si="1"/>
        <v>Gaz ziemny (E) - Kocioł kondensacyjny</v>
      </c>
    </row>
    <row r="110" spans="1:24" ht="18" x14ac:dyDescent="0.35">
      <c r="A110" s="93"/>
      <c r="B110" s="127" t="str">
        <f>G76</f>
        <v>Pompa ciepła grunt / woda</v>
      </c>
      <c r="C110" s="93"/>
      <c r="D110" s="93"/>
      <c r="E110" s="93" t="str">
        <f>L77</f>
        <v>G11</v>
      </c>
      <c r="F110" s="93"/>
      <c r="G110" s="93"/>
      <c r="H110" s="137">
        <f>L82</f>
        <v>2969.995095759235</v>
      </c>
      <c r="I110" s="128"/>
      <c r="K110" s="157">
        <f>L84</f>
        <v>0.24810061023340865</v>
      </c>
      <c r="L110" s="94" t="s">
        <v>33</v>
      </c>
      <c r="N110" s="93"/>
      <c r="O110" s="93"/>
      <c r="P110" s="93"/>
      <c r="Q110" s="133">
        <f t="shared" si="0"/>
        <v>0.248</v>
      </c>
      <c r="R110" s="134" t="str">
        <f>B110&amp;" - "&amp;E110</f>
        <v>Pompa ciepła grunt / woda - G11</v>
      </c>
      <c r="S110" s="135"/>
      <c r="T110" s="134"/>
      <c r="U110" s="135"/>
      <c r="V110" s="135"/>
      <c r="W110" s="134">
        <v>0.39900000000000002</v>
      </c>
      <c r="X110" s="135" t="str">
        <f t="shared" si="1"/>
        <v>Gaz płynny - Kocioł kondensacyjny</v>
      </c>
    </row>
    <row r="111" spans="1:24" ht="18" x14ac:dyDescent="0.35">
      <c r="A111" s="93"/>
      <c r="B111" s="127"/>
      <c r="C111" s="93"/>
      <c r="D111" s="93"/>
      <c r="E111" s="93" t="str">
        <f>O77</f>
        <v>G12</v>
      </c>
      <c r="F111" s="93"/>
      <c r="G111" s="93"/>
      <c r="H111" s="137">
        <f>O82</f>
        <v>2774.6905730848157</v>
      </c>
      <c r="I111" s="128"/>
      <c r="K111" s="157">
        <f>O84</f>
        <v>0.2317857108162158</v>
      </c>
      <c r="L111" s="94" t="s">
        <v>33</v>
      </c>
      <c r="N111" s="93"/>
      <c r="O111" s="93"/>
      <c r="P111" s="93"/>
      <c r="Q111" s="133">
        <f t="shared" si="0"/>
        <v>0.23200000000000001</v>
      </c>
      <c r="R111" s="134" t="str">
        <f>B110&amp;" - "&amp;E111</f>
        <v>Pompa ciepła grunt / woda - G12</v>
      </c>
      <c r="S111" s="135"/>
      <c r="T111" s="134"/>
      <c r="U111" s="135"/>
      <c r="V111" s="135"/>
      <c r="W111" s="134">
        <v>0.43099999999999999</v>
      </c>
      <c r="X111" s="135" t="str">
        <f t="shared" si="1"/>
        <v>Gaz ziemny (E) - Kocioł tradycyjny</v>
      </c>
    </row>
    <row r="112" spans="1:24" ht="18" x14ac:dyDescent="0.35">
      <c r="A112" s="93"/>
      <c r="B112" s="129"/>
      <c r="C112" s="130"/>
      <c r="D112" s="130"/>
      <c r="E112" s="130" t="str">
        <f>R77</f>
        <v>G12w</v>
      </c>
      <c r="F112" s="130"/>
      <c r="G112" s="130"/>
      <c r="H112" s="138">
        <f>R82</f>
        <v>2670.7156204514363</v>
      </c>
      <c r="I112" s="131"/>
      <c r="J112" s="80"/>
      <c r="K112" s="158">
        <f>R84</f>
        <v>0.22310009068365569</v>
      </c>
      <c r="L112" s="132" t="s">
        <v>33</v>
      </c>
      <c r="M112" s="80"/>
      <c r="N112" s="93"/>
      <c r="O112" s="93"/>
      <c r="P112" s="93"/>
      <c r="Q112" s="133">
        <f t="shared" si="0"/>
        <v>0.223</v>
      </c>
      <c r="R112" s="134" t="str">
        <f>B110&amp;" - "&amp;E112</f>
        <v>Pompa ciepła grunt / woda - G12w</v>
      </c>
      <c r="S112" s="135"/>
      <c r="T112" s="134"/>
      <c r="U112" s="135"/>
      <c r="V112" s="135"/>
      <c r="W112" s="134">
        <v>0.436</v>
      </c>
      <c r="X112" s="135" t="str">
        <f t="shared" si="1"/>
        <v>Gaz płynny - Kocioł tradycyjny</v>
      </c>
    </row>
    <row r="113" spans="1:24" ht="18" x14ac:dyDescent="0.35">
      <c r="A113" s="93"/>
      <c r="B113" s="127" t="str">
        <f>G87</f>
        <v>Pompa ciepła powietrze / woda</v>
      </c>
      <c r="C113" s="93"/>
      <c r="D113" s="93"/>
      <c r="E113" s="93" t="str">
        <f>L88</f>
        <v>G11</v>
      </c>
      <c r="F113" s="93"/>
      <c r="G113" s="93"/>
      <c r="H113" s="137">
        <f>L93</f>
        <v>3345.4547907410215</v>
      </c>
      <c r="I113" s="128"/>
      <c r="K113" s="157">
        <f>L95</f>
        <v>0.27946489752669046</v>
      </c>
      <c r="L113" s="94" t="s">
        <v>33</v>
      </c>
      <c r="N113" s="93"/>
      <c r="O113" s="93"/>
      <c r="P113" s="93"/>
      <c r="Q113" s="133">
        <f t="shared" si="0"/>
        <v>0.27900000000000003</v>
      </c>
      <c r="R113" s="134" t="str">
        <f>B113&amp;" - "&amp;E113</f>
        <v>Pompa ciepła powietrze / woda - G11</v>
      </c>
      <c r="S113" s="135"/>
      <c r="T113" s="134"/>
      <c r="U113" s="135"/>
      <c r="V113" s="135"/>
      <c r="W113" s="134">
        <v>0.57999999999999996</v>
      </c>
      <c r="X113" s="135" t="str">
        <f t="shared" si="1"/>
        <v>Olej opałowy - Kocioł kondensacyjny</v>
      </c>
    </row>
    <row r="114" spans="1:24" ht="18" x14ac:dyDescent="0.35">
      <c r="A114" s="93"/>
      <c r="B114" s="93"/>
      <c r="C114" s="93"/>
      <c r="D114" s="93"/>
      <c r="E114" s="93" t="str">
        <f>O88</f>
        <v>G12</v>
      </c>
      <c r="F114" s="93"/>
      <c r="G114" s="93"/>
      <c r="H114" s="137">
        <f>O93</f>
        <v>3123.6877084256271</v>
      </c>
      <c r="I114" s="128"/>
      <c r="K114" s="157">
        <f>O95</f>
        <v>0.26093942974706552</v>
      </c>
      <c r="L114" s="94" t="s">
        <v>33</v>
      </c>
      <c r="N114" s="93"/>
      <c r="O114" s="93"/>
      <c r="P114" s="93"/>
      <c r="Q114" s="133">
        <f t="shared" si="0"/>
        <v>0.26100000000000001</v>
      </c>
      <c r="R114" s="134" t="str">
        <f>B113&amp;" - "&amp;E114</f>
        <v>Pompa ciepła powietrze / woda - G12</v>
      </c>
      <c r="S114" s="135"/>
      <c r="T114" s="134"/>
      <c r="U114" s="135"/>
      <c r="V114" s="135"/>
      <c r="W114" s="134">
        <v>0.629</v>
      </c>
      <c r="X114" s="135" t="str">
        <f t="shared" si="1"/>
        <v>Drewno</v>
      </c>
    </row>
    <row r="115" spans="1:24" ht="18" x14ac:dyDescent="0.35">
      <c r="A115" s="93"/>
      <c r="B115" s="130"/>
      <c r="C115" s="130"/>
      <c r="D115" s="130"/>
      <c r="E115" s="130" t="str">
        <f>R88</f>
        <v>G12w</v>
      </c>
      <c r="F115" s="130"/>
      <c r="G115" s="130"/>
      <c r="H115" s="138">
        <f>R93</f>
        <v>3008.3411181061574</v>
      </c>
      <c r="I115" s="131"/>
      <c r="J115" s="80"/>
      <c r="K115" s="158">
        <f>R95</f>
        <v>0.25130387193504572</v>
      </c>
      <c r="L115" s="132" t="s">
        <v>33</v>
      </c>
      <c r="M115" s="80"/>
      <c r="N115" s="93"/>
      <c r="O115" s="93"/>
      <c r="P115" s="93"/>
      <c r="Q115" s="133">
        <f t="shared" si="0"/>
        <v>0.251</v>
      </c>
      <c r="R115" s="134" t="str">
        <f>B113&amp;" - "&amp;E115</f>
        <v>Pompa ciepła powietrze / woda - G12w</v>
      </c>
      <c r="S115" s="135"/>
      <c r="T115" s="134"/>
      <c r="U115" s="135"/>
      <c r="V115" s="135"/>
      <c r="W115" s="134">
        <v>0.63500000000000001</v>
      </c>
      <c r="X115" s="135" t="str">
        <f t="shared" si="1"/>
        <v>Olej opałowy - Kocioł tradycyjny</v>
      </c>
    </row>
    <row r="116" spans="1:24" x14ac:dyDescent="0.3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</row>
    <row r="117" spans="1:24" x14ac:dyDescent="0.3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</row>
    <row r="118" spans="1:24" x14ac:dyDescent="0.3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</row>
  </sheetData>
  <sheetProtection sheet="1" objects="1" scenarios="1" selectLockedCells="1"/>
  <protectedRanges>
    <protectedRange sqref="M6 M8 M10" name="Dane budynku"/>
  </protectedRanges>
  <mergeCells count="25">
    <mergeCell ref="H77:J77"/>
    <mergeCell ref="H88:J88"/>
    <mergeCell ref="I33:J33"/>
    <mergeCell ref="L33:M33"/>
    <mergeCell ref="R22:S22"/>
    <mergeCell ref="I55:J55"/>
    <mergeCell ref="I66:J66"/>
    <mergeCell ref="L66:M66"/>
    <mergeCell ref="O66:P66"/>
    <mergeCell ref="R66:S66"/>
    <mergeCell ref="L77:M77"/>
    <mergeCell ref="O77:P77"/>
    <mergeCell ref="R77:S77"/>
    <mergeCell ref="U22:V22"/>
    <mergeCell ref="I22:J22"/>
    <mergeCell ref="L22:M22"/>
    <mergeCell ref="I44:J44"/>
    <mergeCell ref="L44:M44"/>
    <mergeCell ref="B100:F101"/>
    <mergeCell ref="K100:M101"/>
    <mergeCell ref="L91:S91"/>
    <mergeCell ref="L80:S80"/>
    <mergeCell ref="L88:M88"/>
    <mergeCell ref="O88:P88"/>
    <mergeCell ref="R88:S88"/>
  </mergeCells>
  <conditionalFormatting sqref="H102:H115">
    <cfRule type="top10" dxfId="0" priority="1" bottom="1" rank="6"/>
  </conditionalFormatting>
  <conditionalFormatting sqref="N102:N1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allowBlank="1" showInputMessage="1" showErrorMessage="1" promptTitle="Podpowiedź" prompt="Energooszczędny: 50-60_x000a__x000a_WT2021: 70-80_x000a__x000a_Istniejący, dobra izolacja: 90-120_x000a__x000a_Istniejący, słaba izolacja: 130-160_x000a__x000a_Istniejący, bez izolacji: &gt;170" sqref="M10" xr:uid="{EE37F48B-A2B1-4DF4-AED9-C95AC181E414}"/>
  </dataValidations>
  <hyperlinks>
    <hyperlink ref="O3" r:id="rId1" xr:uid="{2CF5D2B4-A00D-4A0D-8769-58612A207A10}"/>
  </hyperlinks>
  <pageMargins left="0.7" right="0.7" top="0.75" bottom="0.75" header="0.3" footer="0.3"/>
  <pageSetup paperSize="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4E3A-992F-4134-AB7C-E8A6DD8C49EA}">
  <dimension ref="B3:D15"/>
  <sheetViews>
    <sheetView workbookViewId="0">
      <selection activeCell="C7" sqref="C7"/>
    </sheetView>
  </sheetViews>
  <sheetFormatPr defaultRowHeight="14.4" x14ac:dyDescent="0.3"/>
  <cols>
    <col min="2" max="2" width="36" bestFit="1" customWidth="1"/>
    <col min="4" max="4" width="12.109375" bestFit="1" customWidth="1"/>
  </cols>
  <sheetData>
    <row r="3" spans="2:4" x14ac:dyDescent="0.3">
      <c r="B3" t="s">
        <v>70</v>
      </c>
      <c r="C3">
        <f>Kalkulacja!M8</f>
        <v>4</v>
      </c>
    </row>
    <row r="4" spans="2:4" x14ac:dyDescent="0.3">
      <c r="B4" t="s">
        <v>71</v>
      </c>
      <c r="C4">
        <f>Kalkulacja!M6</f>
        <v>150</v>
      </c>
      <c r="D4" t="s">
        <v>5</v>
      </c>
    </row>
    <row r="5" spans="2:4" x14ac:dyDescent="0.3">
      <c r="B5" t="s">
        <v>72</v>
      </c>
      <c r="C5">
        <f>Kalkulacja!M10</f>
        <v>60</v>
      </c>
      <c r="D5" t="s">
        <v>73</v>
      </c>
    </row>
    <row r="6" spans="2:4" x14ac:dyDescent="0.3">
      <c r="B6" t="s">
        <v>74</v>
      </c>
      <c r="C6" s="30">
        <f>C4*C5</f>
        <v>9000</v>
      </c>
      <c r="D6" t="s">
        <v>75</v>
      </c>
    </row>
    <row r="7" spans="2:4" x14ac:dyDescent="0.3">
      <c r="B7" t="s">
        <v>1</v>
      </c>
      <c r="C7" s="24">
        <f>C6/1800</f>
        <v>5</v>
      </c>
      <c r="D7" t="s">
        <v>2</v>
      </c>
    </row>
    <row r="8" spans="2:4" x14ac:dyDescent="0.3">
      <c r="B8" t="s">
        <v>76</v>
      </c>
      <c r="C8" s="24">
        <f>C7*1000/40</f>
        <v>125</v>
      </c>
      <c r="D8" t="s">
        <v>77</v>
      </c>
    </row>
    <row r="10" spans="2:4" x14ac:dyDescent="0.3">
      <c r="B10" t="s">
        <v>78</v>
      </c>
      <c r="C10" s="58">
        <f>C3*35*50*365*1/860</f>
        <v>2970.9302325581393</v>
      </c>
      <c r="D10" t="s">
        <v>75</v>
      </c>
    </row>
    <row r="12" spans="2:4" x14ac:dyDescent="0.3">
      <c r="B12" t="s">
        <v>79</v>
      </c>
      <c r="C12" s="30">
        <f>800+750*C3</f>
        <v>3800</v>
      </c>
      <c r="D12" t="s">
        <v>75</v>
      </c>
    </row>
    <row r="14" spans="2:4" x14ac:dyDescent="0.3">
      <c r="B14" t="s">
        <v>80</v>
      </c>
      <c r="C14" s="152">
        <f>Paliwa!I33</f>
        <v>3.7</v>
      </c>
      <c r="D14" s="121">
        <f>Paliwa!I34</f>
        <v>2.9</v>
      </c>
    </row>
    <row r="15" spans="2:4" x14ac:dyDescent="0.3">
      <c r="B15" t="s">
        <v>81</v>
      </c>
      <c r="C15" s="152">
        <f>Paliwa!I28</f>
        <v>4.0999999999999996</v>
      </c>
      <c r="D15" s="152">
        <f>Paliwa!I29</f>
        <v>3.4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D2FE-76C1-4555-AE86-2A8A4457EF6B}">
  <sheetPr>
    <tabColor theme="8"/>
  </sheetPr>
  <dimension ref="C2:Y3"/>
  <sheetViews>
    <sheetView showGridLines="0" workbookViewId="0">
      <selection activeCell="I11" sqref="I11"/>
    </sheetView>
  </sheetViews>
  <sheetFormatPr defaultRowHeight="14.4" x14ac:dyDescent="0.3"/>
  <sheetData>
    <row r="2" spans="3:25" x14ac:dyDescent="0.3">
      <c r="C2" s="85"/>
      <c r="D2" s="85" t="s">
        <v>82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S2" s="86"/>
      <c r="T2" s="86"/>
      <c r="U2" s="86"/>
      <c r="V2" s="86"/>
      <c r="W2" s="86"/>
      <c r="X2" s="86"/>
      <c r="Y2" s="86"/>
    </row>
    <row r="3" spans="3:25" x14ac:dyDescent="0.3">
      <c r="D3" s="120" t="s">
        <v>83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D85A-083C-4396-A533-72197C71947D}">
  <sheetPr>
    <tabColor theme="9"/>
  </sheetPr>
  <dimension ref="B2:M35"/>
  <sheetViews>
    <sheetView showGridLines="0" zoomScale="70" zoomScaleNormal="70" workbookViewId="0">
      <selection activeCell="I6" sqref="I6"/>
    </sheetView>
  </sheetViews>
  <sheetFormatPr defaultRowHeight="14.4" x14ac:dyDescent="0.3"/>
  <cols>
    <col min="9" max="9" width="11.109375" bestFit="1" customWidth="1"/>
    <col min="10" max="10" width="9.109375" style="111"/>
  </cols>
  <sheetData>
    <row r="2" spans="2:11" x14ac:dyDescent="0.3">
      <c r="B2" s="120" t="s">
        <v>84</v>
      </c>
    </row>
    <row r="3" spans="2:11" x14ac:dyDescent="0.3">
      <c r="B3" s="123" t="s">
        <v>85</v>
      </c>
    </row>
    <row r="5" spans="2:11" x14ac:dyDescent="0.3">
      <c r="B5" s="96"/>
      <c r="C5" s="96"/>
      <c r="D5" s="96"/>
      <c r="E5" s="96"/>
      <c r="F5" s="96"/>
      <c r="G5" s="96"/>
      <c r="H5" s="96"/>
      <c r="I5" s="96"/>
      <c r="J5" s="112"/>
      <c r="K5" s="96"/>
    </row>
    <row r="6" spans="2:11" ht="18" x14ac:dyDescent="0.35">
      <c r="B6" s="96"/>
      <c r="C6" s="97" t="s">
        <v>22</v>
      </c>
      <c r="D6" s="96"/>
      <c r="E6" s="96"/>
      <c r="F6" s="99" t="s">
        <v>86</v>
      </c>
      <c r="G6" s="98"/>
      <c r="H6" s="96"/>
      <c r="I6" s="179">
        <v>6.94</v>
      </c>
      <c r="J6" s="113" t="s">
        <v>87</v>
      </c>
      <c r="K6" s="96"/>
    </row>
    <row r="7" spans="2:11" ht="18" x14ac:dyDescent="0.3">
      <c r="B7" s="96"/>
      <c r="C7" s="96"/>
      <c r="D7" s="96"/>
      <c r="E7" s="96"/>
      <c r="F7" s="99" t="s">
        <v>35</v>
      </c>
      <c r="G7" s="98"/>
      <c r="H7" s="96"/>
      <c r="I7" s="180">
        <v>2.6</v>
      </c>
      <c r="J7" s="113" t="s">
        <v>36</v>
      </c>
      <c r="K7" s="96"/>
    </row>
    <row r="8" spans="2:11" x14ac:dyDescent="0.3">
      <c r="B8" s="96"/>
      <c r="C8" s="96"/>
      <c r="D8" s="96"/>
      <c r="E8" s="96"/>
      <c r="F8" s="96"/>
      <c r="G8" s="96"/>
      <c r="H8" s="96"/>
      <c r="I8" s="96"/>
      <c r="J8" s="112"/>
      <c r="K8" s="96"/>
    </row>
    <row r="10" spans="2:11" x14ac:dyDescent="0.3">
      <c r="B10" s="28"/>
      <c r="C10" s="28"/>
      <c r="D10" s="28"/>
      <c r="E10" s="28"/>
      <c r="F10" s="28"/>
      <c r="G10" s="28"/>
      <c r="H10" s="28"/>
      <c r="I10" s="28"/>
      <c r="J10" s="114"/>
      <c r="K10" s="28"/>
    </row>
    <row r="11" spans="2:11" ht="18" x14ac:dyDescent="0.35">
      <c r="B11" s="28"/>
      <c r="C11" s="100" t="s">
        <v>34</v>
      </c>
      <c r="D11" s="28"/>
      <c r="E11" s="28"/>
      <c r="F11" s="102" t="s">
        <v>86</v>
      </c>
      <c r="G11" s="101"/>
      <c r="H11" s="28"/>
      <c r="I11" s="179">
        <v>10.220000000000001</v>
      </c>
      <c r="J11" s="115" t="s">
        <v>87</v>
      </c>
      <c r="K11" s="28"/>
    </row>
    <row r="12" spans="2:11" ht="18" x14ac:dyDescent="0.3">
      <c r="B12" s="28"/>
      <c r="C12" s="28"/>
      <c r="D12" s="28"/>
      <c r="E12" s="28"/>
      <c r="F12" s="102" t="s">
        <v>35</v>
      </c>
      <c r="G12" s="101"/>
      <c r="H12" s="28"/>
      <c r="I12" s="180">
        <v>5.39</v>
      </c>
      <c r="J12" s="115" t="s">
        <v>36</v>
      </c>
      <c r="K12" s="28"/>
    </row>
    <row r="13" spans="2:11" x14ac:dyDescent="0.3">
      <c r="B13" s="28"/>
      <c r="C13" s="28"/>
      <c r="D13" s="28"/>
      <c r="E13" s="28"/>
      <c r="F13" s="28"/>
      <c r="G13" s="28"/>
      <c r="H13" s="28"/>
      <c r="I13" s="28"/>
      <c r="J13" s="114"/>
      <c r="K13" s="28"/>
    </row>
    <row r="15" spans="2:11" x14ac:dyDescent="0.3">
      <c r="B15" s="107"/>
      <c r="C15" s="107"/>
      <c r="D15" s="107"/>
      <c r="E15" s="107"/>
      <c r="F15" s="107"/>
      <c r="G15" s="107"/>
      <c r="H15" s="107"/>
      <c r="I15" s="107"/>
      <c r="J15" s="116"/>
      <c r="K15" s="107"/>
    </row>
    <row r="16" spans="2:11" ht="18" x14ac:dyDescent="0.35">
      <c r="B16" s="107"/>
      <c r="C16" s="108" t="s">
        <v>38</v>
      </c>
      <c r="D16" s="107"/>
      <c r="E16" s="107"/>
      <c r="F16" s="109" t="s">
        <v>86</v>
      </c>
      <c r="G16" s="110"/>
      <c r="H16" s="107"/>
      <c r="I16" s="179">
        <v>4.9000000000000004</v>
      </c>
      <c r="J16" s="117" t="s">
        <v>88</v>
      </c>
      <c r="K16" s="107"/>
    </row>
    <row r="17" spans="2:13" ht="18" x14ac:dyDescent="0.3">
      <c r="B17" s="107"/>
      <c r="C17" s="107"/>
      <c r="D17" s="107"/>
      <c r="E17" s="107"/>
      <c r="F17" s="109" t="s">
        <v>35</v>
      </c>
      <c r="G17" s="110"/>
      <c r="H17" s="107"/>
      <c r="I17" s="181">
        <v>2650</v>
      </c>
      <c r="J17" s="117" t="s">
        <v>40</v>
      </c>
      <c r="K17" s="107"/>
      <c r="M17" s="156" t="s">
        <v>89</v>
      </c>
    </row>
    <row r="18" spans="2:13" ht="18" x14ac:dyDescent="0.3">
      <c r="B18" s="107"/>
      <c r="C18" s="107"/>
      <c r="D18" s="107"/>
      <c r="E18" s="107"/>
      <c r="F18" s="109" t="s">
        <v>29</v>
      </c>
      <c r="G18" s="110"/>
      <c r="H18" s="107"/>
      <c r="I18" s="182">
        <v>86</v>
      </c>
      <c r="J18" s="117" t="s">
        <v>90</v>
      </c>
      <c r="K18" s="107"/>
    </row>
    <row r="19" spans="2:13" x14ac:dyDescent="0.3">
      <c r="B19" s="107"/>
      <c r="C19" s="107"/>
      <c r="D19" s="107"/>
      <c r="E19" s="107"/>
      <c r="F19" s="107"/>
      <c r="G19" s="107"/>
      <c r="H19" s="107"/>
      <c r="I19" s="107"/>
      <c r="J19" s="116"/>
      <c r="K19" s="107"/>
    </row>
    <row r="21" spans="2:13" x14ac:dyDescent="0.3">
      <c r="B21" s="107"/>
      <c r="C21" s="107"/>
      <c r="D21" s="107"/>
      <c r="E21" s="107"/>
      <c r="F21" s="107"/>
      <c r="G21" s="107"/>
      <c r="H21" s="107"/>
      <c r="I21" s="107"/>
      <c r="J21" s="116"/>
      <c r="K21" s="107"/>
    </row>
    <row r="22" spans="2:13" ht="18" x14ac:dyDescent="0.35">
      <c r="B22" s="107"/>
      <c r="C22" s="108" t="s">
        <v>41</v>
      </c>
      <c r="D22" s="107"/>
      <c r="E22" s="107"/>
      <c r="F22" s="109" t="s">
        <v>86</v>
      </c>
      <c r="G22" s="110"/>
      <c r="H22" s="107"/>
      <c r="I22" s="182">
        <v>1900</v>
      </c>
      <c r="J22" s="117" t="s">
        <v>91</v>
      </c>
      <c r="K22" s="107"/>
    </row>
    <row r="23" spans="2:13" ht="18" x14ac:dyDescent="0.3">
      <c r="B23" s="107"/>
      <c r="C23" s="107"/>
      <c r="D23" s="107"/>
      <c r="E23" s="107"/>
      <c r="F23" s="109" t="s">
        <v>35</v>
      </c>
      <c r="G23" s="110"/>
      <c r="H23" s="107"/>
      <c r="I23" s="181">
        <v>439</v>
      </c>
      <c r="J23" s="117" t="s">
        <v>43</v>
      </c>
      <c r="K23" s="107"/>
      <c r="M23" s="156" t="s">
        <v>89</v>
      </c>
    </row>
    <row r="24" spans="2:13" ht="18" x14ac:dyDescent="0.3">
      <c r="B24" s="107"/>
      <c r="C24" s="107"/>
      <c r="D24" s="107"/>
      <c r="E24" s="107"/>
      <c r="F24" s="109" t="s">
        <v>29</v>
      </c>
      <c r="G24" s="110"/>
      <c r="H24" s="107"/>
      <c r="I24" s="182">
        <v>80</v>
      </c>
      <c r="J24" s="117" t="s">
        <v>90</v>
      </c>
      <c r="K24" s="107"/>
    </row>
    <row r="25" spans="2:13" x14ac:dyDescent="0.3">
      <c r="B25" s="107"/>
      <c r="C25" s="107"/>
      <c r="D25" s="107"/>
      <c r="E25" s="107"/>
      <c r="F25" s="107"/>
      <c r="G25" s="107"/>
      <c r="H25" s="107"/>
      <c r="I25" s="107"/>
      <c r="J25" s="116"/>
      <c r="K25" s="107"/>
    </row>
    <row r="27" spans="2:13" x14ac:dyDescent="0.3">
      <c r="B27" s="140"/>
      <c r="C27" s="140"/>
      <c r="D27" s="140"/>
      <c r="E27" s="140"/>
      <c r="F27" s="140"/>
      <c r="G27" s="140"/>
      <c r="H27" s="140"/>
      <c r="I27" s="140"/>
      <c r="J27" s="141"/>
      <c r="K27" s="140"/>
    </row>
    <row r="28" spans="2:13" ht="18" x14ac:dyDescent="0.35">
      <c r="B28" s="140"/>
      <c r="C28" s="142" t="s">
        <v>92</v>
      </c>
      <c r="D28" s="140"/>
      <c r="E28" s="140"/>
      <c r="F28" s="143" t="s">
        <v>93</v>
      </c>
      <c r="G28" s="144"/>
      <c r="H28" s="140"/>
      <c r="I28" s="179">
        <v>4.0999999999999996</v>
      </c>
      <c r="J28" s="145"/>
      <c r="K28" s="140"/>
    </row>
    <row r="29" spans="2:13" ht="18" x14ac:dyDescent="0.3">
      <c r="B29" s="140"/>
      <c r="C29" s="143" t="s">
        <v>94</v>
      </c>
      <c r="D29" s="140"/>
      <c r="E29" s="140"/>
      <c r="F29" s="143" t="s">
        <v>95</v>
      </c>
      <c r="G29" s="144"/>
      <c r="H29" s="140"/>
      <c r="I29" s="183">
        <v>3.4</v>
      </c>
      <c r="J29" s="145"/>
      <c r="K29" s="140"/>
    </row>
    <row r="30" spans="2:13" x14ac:dyDescent="0.3">
      <c r="B30" s="140"/>
      <c r="C30" s="140"/>
      <c r="D30" s="140"/>
      <c r="E30" s="140"/>
      <c r="F30" s="140"/>
      <c r="G30" s="140"/>
      <c r="H30" s="140"/>
      <c r="I30" s="140"/>
      <c r="J30" s="141"/>
      <c r="K30" s="140"/>
    </row>
    <row r="32" spans="2:13" x14ac:dyDescent="0.3">
      <c r="B32" s="146"/>
      <c r="C32" s="146"/>
      <c r="D32" s="146"/>
      <c r="E32" s="146"/>
      <c r="F32" s="146"/>
      <c r="G32" s="146"/>
      <c r="H32" s="146"/>
      <c r="I32" s="146"/>
      <c r="J32" s="147"/>
      <c r="K32" s="146"/>
    </row>
    <row r="33" spans="2:11" ht="18" x14ac:dyDescent="0.35">
      <c r="B33" s="146"/>
      <c r="C33" s="148" t="s">
        <v>92</v>
      </c>
      <c r="D33" s="146"/>
      <c r="E33" s="146"/>
      <c r="F33" s="149" t="s">
        <v>93</v>
      </c>
      <c r="G33" s="150"/>
      <c r="H33" s="146"/>
      <c r="I33" s="184">
        <v>3.7</v>
      </c>
      <c r="J33" s="151"/>
      <c r="K33" s="146"/>
    </row>
    <row r="34" spans="2:11" ht="18" x14ac:dyDescent="0.3">
      <c r="B34" s="146"/>
      <c r="C34" s="149" t="s">
        <v>96</v>
      </c>
      <c r="D34" s="146"/>
      <c r="E34" s="146"/>
      <c r="F34" s="149" t="s">
        <v>95</v>
      </c>
      <c r="G34" s="150"/>
      <c r="H34" s="146"/>
      <c r="I34" s="183">
        <v>2.9</v>
      </c>
      <c r="J34" s="151"/>
      <c r="K34" s="146"/>
    </row>
    <row r="35" spans="2:11" x14ac:dyDescent="0.3">
      <c r="B35" s="146"/>
      <c r="C35" s="146"/>
      <c r="D35" s="146"/>
      <c r="E35" s="146"/>
      <c r="F35" s="146"/>
      <c r="G35" s="146"/>
      <c r="H35" s="146"/>
      <c r="I35" s="146"/>
      <c r="J35" s="147"/>
      <c r="K35" s="146"/>
    </row>
  </sheetData>
  <sheetProtection sheet="1" objects="1" scenarios="1" selectLockedCells="1"/>
  <protectedRanges>
    <protectedRange sqref="I33:I34 I28:I29 I22:I24 I16:I18 I11:I12 I6:I7" name="Paliwa"/>
  </protectedRange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0888-D039-4D25-AD6F-4A4A26D1A88F}">
  <dimension ref="B2:AE373"/>
  <sheetViews>
    <sheetView topLeftCell="A21" workbookViewId="0">
      <selection activeCell="K48" sqref="K48"/>
    </sheetView>
  </sheetViews>
  <sheetFormatPr defaultRowHeight="14.4" x14ac:dyDescent="0.3"/>
  <cols>
    <col min="1" max="1" width="3" customWidth="1"/>
    <col min="2" max="13" width="6.6640625" customWidth="1"/>
  </cols>
  <sheetData>
    <row r="2" spans="2:31" x14ac:dyDescent="0.3">
      <c r="B2" s="27" t="s">
        <v>97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31" x14ac:dyDescent="0.3">
      <c r="B3" s="30" t="s">
        <v>98</v>
      </c>
      <c r="C3" s="30" t="s">
        <v>99</v>
      </c>
      <c r="D3" s="30" t="s">
        <v>100</v>
      </c>
      <c r="E3" s="30" t="s">
        <v>101</v>
      </c>
      <c r="F3" s="30" t="s">
        <v>102</v>
      </c>
      <c r="G3" s="30" t="s">
        <v>103</v>
      </c>
      <c r="H3" s="30" t="s">
        <v>104</v>
      </c>
      <c r="I3" s="30" t="s">
        <v>105</v>
      </c>
      <c r="J3" s="30" t="s">
        <v>106</v>
      </c>
      <c r="K3" s="30" t="s">
        <v>107</v>
      </c>
      <c r="L3" s="30" t="s">
        <v>108</v>
      </c>
      <c r="M3" s="30" t="s">
        <v>109</v>
      </c>
      <c r="Q3" s="29" t="s">
        <v>102</v>
      </c>
      <c r="R3" s="29"/>
      <c r="S3" s="29" t="s">
        <v>104</v>
      </c>
      <c r="T3" s="29"/>
      <c r="U3" s="29" t="s">
        <v>106</v>
      </c>
      <c r="V3" s="29"/>
      <c r="W3" s="29"/>
      <c r="X3" s="29" t="s">
        <v>107</v>
      </c>
      <c r="Y3" s="29"/>
      <c r="Z3" s="29" t="s">
        <v>109</v>
      </c>
      <c r="AA3" s="29"/>
      <c r="AB3" s="29" t="s">
        <v>98</v>
      </c>
      <c r="AC3" s="29"/>
      <c r="AD3" s="29" t="s">
        <v>100</v>
      </c>
      <c r="AE3" s="29"/>
    </row>
    <row r="4" spans="2:31" x14ac:dyDescent="0.3">
      <c r="B4" s="22">
        <v>72.83</v>
      </c>
      <c r="C4" s="22">
        <v>91.61</v>
      </c>
      <c r="D4" s="22">
        <v>52.68</v>
      </c>
      <c r="E4" s="22">
        <v>42.49</v>
      </c>
      <c r="J4" s="22">
        <v>25.32</v>
      </c>
      <c r="K4" s="22">
        <v>20.83</v>
      </c>
      <c r="L4" s="22">
        <v>71.14</v>
      </c>
      <c r="M4" s="22">
        <v>78.81</v>
      </c>
      <c r="P4" s="26">
        <v>0</v>
      </c>
      <c r="Q4">
        <v>0.215</v>
      </c>
      <c r="R4" s="25">
        <f>Q4/$Q$29</f>
        <v>3.0243353495568996E-2</v>
      </c>
      <c r="S4">
        <v>0.20100000000000001</v>
      </c>
      <c r="T4" s="25">
        <f>S4/$S$29</f>
        <v>2.0989974937343357E-2</v>
      </c>
      <c r="U4">
        <v>0.77100000000000002</v>
      </c>
      <c r="V4" s="25">
        <f>U4/$S$29</f>
        <v>8.0513784461152885E-2</v>
      </c>
      <c r="W4" s="25"/>
      <c r="X4">
        <v>0.254</v>
      </c>
      <c r="Y4" s="25">
        <f>X4/$Z$29</f>
        <v>1.7559626685101967E-2</v>
      </c>
      <c r="Z4">
        <v>0.879</v>
      </c>
      <c r="AA4" s="25">
        <f>Z4/$Z$29</f>
        <v>6.0767369512616645E-2</v>
      </c>
      <c r="AB4">
        <v>0.48399999999999999</v>
      </c>
      <c r="AC4" s="25">
        <f t="shared" ref="AC4:AC27" si="0">AB4/$AB$29</f>
        <v>4.2987831956656897E-2</v>
      </c>
      <c r="AD4">
        <v>0.223</v>
      </c>
      <c r="AE4" s="25">
        <f t="shared" ref="AE4:AE27" si="1">AD4/$AD$29</f>
        <v>2.5632183908045975E-2</v>
      </c>
    </row>
    <row r="5" spans="2:31" x14ac:dyDescent="0.3">
      <c r="B5" s="22">
        <v>51.07</v>
      </c>
      <c r="C5" s="22">
        <v>94.75</v>
      </c>
      <c r="D5" s="22">
        <v>49.06</v>
      </c>
      <c r="E5" s="22">
        <v>33.96</v>
      </c>
      <c r="J5" s="22">
        <v>30.83</v>
      </c>
      <c r="K5" s="22">
        <v>35.229999999999997</v>
      </c>
      <c r="L5" s="22">
        <v>34.880000000000003</v>
      </c>
      <c r="M5" s="22">
        <v>85.47</v>
      </c>
      <c r="P5" s="26">
        <v>4.1666666666666664E-2</v>
      </c>
      <c r="Q5">
        <v>0.19500000000000001</v>
      </c>
      <c r="R5" s="25">
        <f t="shared" ref="R5:R27" si="2">Q5/$Q$29</f>
        <v>2.7430018286678858E-2</v>
      </c>
      <c r="S5">
        <v>0.23899999999999999</v>
      </c>
      <c r="T5" s="25">
        <f t="shared" ref="T5:V27" si="3">S5/$S$29</f>
        <v>2.4958228905597325E-2</v>
      </c>
      <c r="U5">
        <v>0.33200000000000002</v>
      </c>
      <c r="V5" s="25">
        <f t="shared" si="3"/>
        <v>3.4670008354218879E-2</v>
      </c>
      <c r="W5" s="25"/>
      <c r="X5">
        <v>0.26200000000000001</v>
      </c>
      <c r="Y5" s="25">
        <f t="shared" ref="Y5:AA27" si="4">X5/$Z$29</f>
        <v>1.8112685793294156E-2</v>
      </c>
      <c r="Z5">
        <v>0.25</v>
      </c>
      <c r="AA5" s="25">
        <f t="shared" si="4"/>
        <v>1.7283097131005874E-2</v>
      </c>
      <c r="AB5">
        <v>0.51500000000000001</v>
      </c>
      <c r="AC5" s="25">
        <f t="shared" si="0"/>
        <v>4.5741184829913843E-2</v>
      </c>
      <c r="AD5">
        <v>0.158</v>
      </c>
      <c r="AE5" s="25">
        <f t="shared" si="1"/>
        <v>1.8160919540229883E-2</v>
      </c>
    </row>
    <row r="6" spans="2:31" x14ac:dyDescent="0.3">
      <c r="B6" s="22">
        <v>51.01</v>
      </c>
      <c r="C6" s="22">
        <v>91.4</v>
      </c>
      <c r="D6" s="22">
        <v>45.47</v>
      </c>
      <c r="E6" s="22">
        <v>39.89</v>
      </c>
      <c r="J6" s="22">
        <v>31.29</v>
      </c>
      <c r="K6" s="22">
        <v>47.84</v>
      </c>
      <c r="L6" s="22">
        <v>45.35</v>
      </c>
      <c r="M6" s="22">
        <v>79.11</v>
      </c>
      <c r="P6" s="26">
        <v>8.3333333333333329E-2</v>
      </c>
      <c r="Q6">
        <v>0.23799999999999999</v>
      </c>
      <c r="R6" s="25">
        <f t="shared" si="2"/>
        <v>3.3478688985792655E-2</v>
      </c>
      <c r="S6">
        <v>0.21299999999999999</v>
      </c>
      <c r="T6" s="25">
        <f t="shared" si="3"/>
        <v>2.2243107769423558E-2</v>
      </c>
      <c r="U6">
        <v>0.24399999999999999</v>
      </c>
      <c r="V6" s="25">
        <f t="shared" si="3"/>
        <v>2.5480367585630742E-2</v>
      </c>
      <c r="W6" s="25"/>
      <c r="X6">
        <v>0.221</v>
      </c>
      <c r="Y6" s="25">
        <f t="shared" si="4"/>
        <v>1.5278257863809191E-2</v>
      </c>
      <c r="Z6">
        <v>0.28100000000000003</v>
      </c>
      <c r="AA6" s="25">
        <f t="shared" si="4"/>
        <v>1.9426201175250603E-2</v>
      </c>
      <c r="AB6">
        <v>0.42</v>
      </c>
      <c r="AC6" s="25">
        <f t="shared" si="0"/>
        <v>3.7303490540900611E-2</v>
      </c>
      <c r="AD6">
        <v>0.23799999999999999</v>
      </c>
      <c r="AE6" s="25">
        <f t="shared" si="1"/>
        <v>2.7356321839080454E-2</v>
      </c>
    </row>
    <row r="7" spans="2:31" x14ac:dyDescent="0.3">
      <c r="B7" s="22">
        <v>61.74</v>
      </c>
      <c r="C7" s="22">
        <v>87.38</v>
      </c>
      <c r="D7" s="22">
        <v>46.54</v>
      </c>
      <c r="E7" s="22">
        <v>35.96</v>
      </c>
      <c r="J7" s="22">
        <v>33.67</v>
      </c>
      <c r="K7" s="22">
        <v>47.82</v>
      </c>
      <c r="L7" s="22">
        <v>54.43</v>
      </c>
      <c r="M7" s="22">
        <v>66.55</v>
      </c>
      <c r="P7" s="26">
        <v>0.125</v>
      </c>
      <c r="Q7">
        <v>0.20799999999999999</v>
      </c>
      <c r="R7" s="25">
        <f t="shared" si="2"/>
        <v>2.9258686172457447E-2</v>
      </c>
      <c r="S7">
        <v>0.20399999999999999</v>
      </c>
      <c r="T7" s="25">
        <f t="shared" si="3"/>
        <v>2.1303258145363407E-2</v>
      </c>
      <c r="U7">
        <v>0.182</v>
      </c>
      <c r="V7" s="25">
        <f t="shared" si="3"/>
        <v>1.9005847953216373E-2</v>
      </c>
      <c r="W7" s="25"/>
      <c r="X7">
        <v>0.223</v>
      </c>
      <c r="Y7" s="25">
        <f t="shared" si="4"/>
        <v>1.5416522640857239E-2</v>
      </c>
      <c r="Z7">
        <v>1.2609999999999999</v>
      </c>
      <c r="AA7" s="25">
        <f t="shared" si="4"/>
        <v>8.7175941928793618E-2</v>
      </c>
      <c r="AB7">
        <v>0.33100000000000002</v>
      </c>
      <c r="AC7" s="25">
        <f t="shared" si="0"/>
        <v>2.939870325961453E-2</v>
      </c>
      <c r="AD7">
        <v>0.192</v>
      </c>
      <c r="AE7" s="25">
        <f t="shared" si="1"/>
        <v>2.2068965517241378E-2</v>
      </c>
    </row>
    <row r="8" spans="2:31" x14ac:dyDescent="0.3">
      <c r="B8" s="22">
        <v>58.99</v>
      </c>
      <c r="C8" s="22">
        <v>87.92</v>
      </c>
      <c r="D8" s="22">
        <v>36.94</v>
      </c>
      <c r="E8" s="22">
        <v>26.47</v>
      </c>
      <c r="J8" s="22">
        <v>33.42</v>
      </c>
      <c r="K8" s="22">
        <v>42.55</v>
      </c>
      <c r="L8" s="22">
        <v>59.79</v>
      </c>
      <c r="M8" s="22">
        <v>74.010000000000005</v>
      </c>
      <c r="P8" s="26">
        <v>0.16666666666666699</v>
      </c>
      <c r="Q8">
        <v>0.193</v>
      </c>
      <c r="R8" s="25">
        <f t="shared" si="2"/>
        <v>2.7148684765789844E-2</v>
      </c>
      <c r="S8">
        <v>0.24</v>
      </c>
      <c r="T8" s="25">
        <f t="shared" si="3"/>
        <v>2.5062656641604009E-2</v>
      </c>
      <c r="U8">
        <v>0.67600000000000005</v>
      </c>
      <c r="V8" s="25">
        <f t="shared" si="3"/>
        <v>7.0593149540517958E-2</v>
      </c>
      <c r="W8" s="25"/>
      <c r="X8">
        <v>0.253</v>
      </c>
      <c r="Y8" s="25">
        <f t="shared" si="4"/>
        <v>1.7490494296577942E-2</v>
      </c>
      <c r="Z8">
        <v>0.60599999999999998</v>
      </c>
      <c r="AA8" s="25">
        <f t="shared" si="4"/>
        <v>4.1894227445558235E-2</v>
      </c>
      <c r="AB8">
        <v>0.34399999999999997</v>
      </c>
      <c r="AC8" s="25">
        <f t="shared" si="0"/>
        <v>3.0553335109690022E-2</v>
      </c>
      <c r="AD8">
        <v>0.23300000000000001</v>
      </c>
      <c r="AE8" s="25">
        <f t="shared" si="1"/>
        <v>2.6781609195402296E-2</v>
      </c>
    </row>
    <row r="9" spans="2:31" x14ac:dyDescent="0.3">
      <c r="B9" s="22">
        <v>56.39</v>
      </c>
      <c r="C9" s="22">
        <v>75.19</v>
      </c>
      <c r="D9" s="22">
        <v>57.54</v>
      </c>
      <c r="E9" s="22">
        <v>22.28</v>
      </c>
      <c r="J9" s="22">
        <v>31.63</v>
      </c>
      <c r="K9" s="22">
        <v>24.92</v>
      </c>
      <c r="L9" s="22">
        <v>50.28</v>
      </c>
      <c r="M9" s="22">
        <v>73.430000000000007</v>
      </c>
      <c r="P9" s="26">
        <v>0.20833333333333301</v>
      </c>
      <c r="Q9">
        <v>1.0649999999999999</v>
      </c>
      <c r="R9" s="25">
        <f t="shared" si="2"/>
        <v>0.14981009987339991</v>
      </c>
      <c r="S9">
        <v>1.347</v>
      </c>
      <c r="T9" s="25">
        <f t="shared" si="3"/>
        <v>0.14066416040100249</v>
      </c>
      <c r="U9">
        <v>0.61699999999999999</v>
      </c>
      <c r="V9" s="25">
        <f t="shared" si="3"/>
        <v>6.4431913116123632E-2</v>
      </c>
      <c r="W9" s="25"/>
      <c r="X9">
        <v>1.038</v>
      </c>
      <c r="Y9" s="25">
        <f t="shared" si="4"/>
        <v>7.1759419287936388E-2</v>
      </c>
      <c r="Z9">
        <v>0.224</v>
      </c>
      <c r="AA9" s="25">
        <f t="shared" si="4"/>
        <v>1.5485655029381262E-2</v>
      </c>
      <c r="AB9">
        <v>0.28100000000000003</v>
      </c>
      <c r="AC9" s="25">
        <f t="shared" si="0"/>
        <v>2.4957811528554936E-2</v>
      </c>
      <c r="AD9">
        <v>0.20200000000000001</v>
      </c>
      <c r="AE9" s="25">
        <f t="shared" si="1"/>
        <v>2.3218390804597699E-2</v>
      </c>
    </row>
    <row r="10" spans="2:31" x14ac:dyDescent="0.3">
      <c r="B10" s="22">
        <v>50.69</v>
      </c>
      <c r="C10" s="22">
        <v>59.4</v>
      </c>
      <c r="D10" s="22">
        <v>72.17</v>
      </c>
      <c r="E10" s="22">
        <v>37.950000000000003</v>
      </c>
      <c r="J10" s="22">
        <v>29.81</v>
      </c>
      <c r="K10" s="22">
        <v>23.34</v>
      </c>
      <c r="L10" s="22">
        <v>38.31</v>
      </c>
      <c r="M10" s="22">
        <v>85.32</v>
      </c>
      <c r="P10" s="26">
        <v>0.25</v>
      </c>
      <c r="Q10">
        <v>0.11700000000000001</v>
      </c>
      <c r="R10" s="25">
        <f t="shared" si="2"/>
        <v>1.6458010972007317E-2</v>
      </c>
      <c r="S10">
        <v>0.94</v>
      </c>
      <c r="T10" s="25">
        <f t="shared" si="3"/>
        <v>9.8162071846282367E-2</v>
      </c>
      <c r="U10">
        <v>0.61399999999999999</v>
      </c>
      <c r="V10" s="25">
        <f t="shared" si="3"/>
        <v>6.4118629908103589E-2</v>
      </c>
      <c r="W10" s="25"/>
      <c r="X10">
        <v>0.218</v>
      </c>
      <c r="Y10" s="25">
        <f t="shared" si="4"/>
        <v>1.5070860698237121E-2</v>
      </c>
      <c r="Z10">
        <v>0.28299999999999997</v>
      </c>
      <c r="AA10" s="25">
        <f t="shared" si="4"/>
        <v>1.9564465952298646E-2</v>
      </c>
      <c r="AB10">
        <v>0.28699999999999998</v>
      </c>
      <c r="AC10" s="25">
        <f t="shared" si="0"/>
        <v>2.5490718536282084E-2</v>
      </c>
      <c r="AD10">
        <v>0.21299999999999999</v>
      </c>
      <c r="AE10" s="25">
        <f t="shared" si="1"/>
        <v>2.4482758620689653E-2</v>
      </c>
    </row>
    <row r="11" spans="2:31" x14ac:dyDescent="0.3">
      <c r="B11" s="22">
        <v>67.77</v>
      </c>
      <c r="C11" s="22">
        <v>74.55</v>
      </c>
      <c r="D11" s="22">
        <v>65.06</v>
      </c>
      <c r="E11" s="22">
        <v>36.82</v>
      </c>
      <c r="J11" s="22">
        <v>23.41</v>
      </c>
      <c r="K11" s="22">
        <v>24.44</v>
      </c>
      <c r="L11" s="22">
        <v>52.83</v>
      </c>
      <c r="M11" s="22">
        <v>74.62</v>
      </c>
      <c r="P11" s="26">
        <v>0.29166666666666702</v>
      </c>
      <c r="Q11">
        <v>0.38700000000000001</v>
      </c>
      <c r="R11" s="25">
        <f t="shared" si="2"/>
        <v>5.4438036292024199E-2</v>
      </c>
      <c r="S11">
        <v>0.49199999999999999</v>
      </c>
      <c r="T11" s="25">
        <f t="shared" si="3"/>
        <v>5.1378446115288218E-2</v>
      </c>
      <c r="U11">
        <v>0.64900000000000002</v>
      </c>
      <c r="V11" s="25">
        <f t="shared" si="3"/>
        <v>6.7773600668337514E-2</v>
      </c>
      <c r="W11" s="25"/>
      <c r="X11">
        <v>0.32700000000000001</v>
      </c>
      <c r="Y11" s="25">
        <f t="shared" si="4"/>
        <v>2.2606291047355682E-2</v>
      </c>
      <c r="Z11">
        <v>0.21299999999999999</v>
      </c>
      <c r="AA11" s="25">
        <f t="shared" si="4"/>
        <v>1.4725198755617003E-2</v>
      </c>
      <c r="AB11">
        <v>0.26300000000000001</v>
      </c>
      <c r="AC11" s="25">
        <f t="shared" si="0"/>
        <v>2.3359090505373478E-2</v>
      </c>
      <c r="AD11">
        <v>0.17100000000000001</v>
      </c>
      <c r="AE11" s="25">
        <f t="shared" si="1"/>
        <v>1.9655172413793102E-2</v>
      </c>
    </row>
    <row r="12" spans="2:31" x14ac:dyDescent="0.3">
      <c r="B12" s="22">
        <v>63.6</v>
      </c>
      <c r="C12" s="22">
        <v>60.3</v>
      </c>
      <c r="D12" s="22">
        <v>58.89</v>
      </c>
      <c r="E12" s="22">
        <v>33.65</v>
      </c>
      <c r="J12" s="22">
        <v>20.89</v>
      </c>
      <c r="K12" s="22">
        <v>27.74</v>
      </c>
      <c r="L12" s="22">
        <v>44.31</v>
      </c>
      <c r="M12" s="22">
        <v>71.13</v>
      </c>
      <c r="P12" s="26">
        <v>0.33333333333333298</v>
      </c>
      <c r="Q12">
        <v>0.28599999999999998</v>
      </c>
      <c r="R12" s="25">
        <f t="shared" si="2"/>
        <v>4.0230693487128988E-2</v>
      </c>
      <c r="S12">
        <v>0.42499999999999999</v>
      </c>
      <c r="T12" s="25">
        <f t="shared" si="3"/>
        <v>4.4381787802840432E-2</v>
      </c>
      <c r="U12">
        <v>0.64600000000000002</v>
      </c>
      <c r="V12" s="25">
        <f t="shared" si="3"/>
        <v>6.7460317460317457E-2</v>
      </c>
      <c r="W12" s="25"/>
      <c r="X12">
        <v>0.249</v>
      </c>
      <c r="Y12" s="25">
        <f t="shared" si="4"/>
        <v>1.7213964742481849E-2</v>
      </c>
      <c r="Z12">
        <v>0.22600000000000001</v>
      </c>
      <c r="AA12" s="25">
        <f t="shared" si="4"/>
        <v>1.5623919806429309E-2</v>
      </c>
      <c r="AB12">
        <v>0.26</v>
      </c>
      <c r="AC12" s="25">
        <f t="shared" si="0"/>
        <v>2.3092637001509903E-2</v>
      </c>
      <c r="AD12">
        <v>0.251</v>
      </c>
      <c r="AE12" s="25">
        <f t="shared" si="1"/>
        <v>2.8850574712643674E-2</v>
      </c>
    </row>
    <row r="13" spans="2:31" x14ac:dyDescent="0.3">
      <c r="B13" s="22">
        <v>63.57</v>
      </c>
      <c r="C13" s="22">
        <v>62.46</v>
      </c>
      <c r="D13" s="22">
        <v>64.58</v>
      </c>
      <c r="E13" s="22">
        <v>43.26</v>
      </c>
      <c r="J13" s="22">
        <v>19.02</v>
      </c>
      <c r="K13" s="22">
        <v>31.1</v>
      </c>
      <c r="L13" s="22">
        <v>44.61</v>
      </c>
      <c r="M13" s="22">
        <v>44.21</v>
      </c>
      <c r="P13" s="26">
        <v>0.375</v>
      </c>
      <c r="Q13">
        <v>0.317</v>
      </c>
      <c r="R13" s="25">
        <f t="shared" si="2"/>
        <v>4.4591363060908711E-2</v>
      </c>
      <c r="S13">
        <v>0.10100000000000001</v>
      </c>
      <c r="T13" s="25">
        <f t="shared" si="3"/>
        <v>1.054720133667502E-2</v>
      </c>
      <c r="U13">
        <v>0.79500000000000004</v>
      </c>
      <c r="V13" s="25">
        <f t="shared" si="3"/>
        <v>8.3020050125313286E-2</v>
      </c>
      <c r="W13" s="25"/>
      <c r="X13">
        <v>1.2589999999999999</v>
      </c>
      <c r="Y13" s="25">
        <f t="shared" si="4"/>
        <v>8.7037677151745568E-2</v>
      </c>
      <c r="Z13">
        <v>0.33100000000000002</v>
      </c>
      <c r="AA13" s="25">
        <f t="shared" si="4"/>
        <v>2.2882820601451775E-2</v>
      </c>
      <c r="AB13">
        <v>0.10100000000000001</v>
      </c>
      <c r="AC13" s="25">
        <f t="shared" si="0"/>
        <v>8.9706012967403857E-3</v>
      </c>
      <c r="AD13">
        <v>0.6</v>
      </c>
      <c r="AE13" s="25">
        <f t="shared" si="1"/>
        <v>6.8965517241379296E-2</v>
      </c>
    </row>
    <row r="14" spans="2:31" x14ac:dyDescent="0.3">
      <c r="B14" s="22">
        <v>73.010000000000005</v>
      </c>
      <c r="C14" s="22">
        <v>50.29</v>
      </c>
      <c r="D14" s="22">
        <v>59.82</v>
      </c>
      <c r="E14" s="22">
        <v>46.56</v>
      </c>
      <c r="J14" s="22">
        <v>19.079999999999998</v>
      </c>
      <c r="K14" s="22">
        <v>34.15</v>
      </c>
      <c r="L14" s="22">
        <v>45.82</v>
      </c>
      <c r="M14" s="22">
        <v>46.7</v>
      </c>
      <c r="P14" s="26">
        <v>0.41666666666666702</v>
      </c>
      <c r="Q14">
        <v>0.69499999999999995</v>
      </c>
      <c r="R14" s="25">
        <f t="shared" si="2"/>
        <v>9.7763398508932328E-2</v>
      </c>
      <c r="S14">
        <v>0.372</v>
      </c>
      <c r="T14" s="25">
        <f t="shared" si="3"/>
        <v>3.8847117794486213E-2</v>
      </c>
      <c r="U14">
        <v>0.35599999999999998</v>
      </c>
      <c r="V14" s="25">
        <f t="shared" si="3"/>
        <v>3.7176274018379279E-2</v>
      </c>
      <c r="W14" s="25"/>
      <c r="X14">
        <v>1.68</v>
      </c>
      <c r="Y14" s="25">
        <f t="shared" si="4"/>
        <v>0.11614241272035945</v>
      </c>
      <c r="Z14">
        <v>0.26300000000000001</v>
      </c>
      <c r="AA14" s="25">
        <f t="shared" si="4"/>
        <v>1.8181818181818177E-2</v>
      </c>
      <c r="AB14">
        <v>0.222</v>
      </c>
      <c r="AC14" s="25">
        <f t="shared" si="0"/>
        <v>1.9717559285904608E-2</v>
      </c>
      <c r="AD14">
        <v>8.5000000000000006E-2</v>
      </c>
      <c r="AE14" s="25">
        <f t="shared" si="1"/>
        <v>9.7701149425287355E-3</v>
      </c>
    </row>
    <row r="15" spans="2:31" x14ac:dyDescent="0.3">
      <c r="B15" s="22">
        <v>63.91</v>
      </c>
      <c r="C15" s="22">
        <v>37.01</v>
      </c>
      <c r="D15" s="22">
        <v>77.09</v>
      </c>
      <c r="E15" s="22">
        <v>44.37</v>
      </c>
      <c r="J15" s="22">
        <v>20.04</v>
      </c>
      <c r="K15" s="22">
        <v>22.89</v>
      </c>
      <c r="L15" s="22">
        <v>54.24</v>
      </c>
      <c r="M15" s="22">
        <v>59.67</v>
      </c>
      <c r="P15" s="26">
        <v>0.45833333333333298</v>
      </c>
      <c r="Q15">
        <v>0.14199999999999999</v>
      </c>
      <c r="R15" s="25">
        <f t="shared" si="2"/>
        <v>1.9974679983119987E-2</v>
      </c>
      <c r="S15">
        <v>0.105</v>
      </c>
      <c r="T15" s="25">
        <f t="shared" si="3"/>
        <v>1.0964912280701754E-2</v>
      </c>
      <c r="U15">
        <v>0.55100000000000005</v>
      </c>
      <c r="V15" s="25">
        <f t="shared" si="3"/>
        <v>5.7539682539682543E-2</v>
      </c>
      <c r="W15" s="25"/>
      <c r="X15">
        <v>1.054</v>
      </c>
      <c r="Y15" s="25">
        <f t="shared" si="4"/>
        <v>7.286553750432076E-2</v>
      </c>
      <c r="Z15">
        <v>0.40400000000000003</v>
      </c>
      <c r="AA15" s="25">
        <f t="shared" si="4"/>
        <v>2.7929484963705491E-2</v>
      </c>
      <c r="AB15">
        <v>0.71399999999999997</v>
      </c>
      <c r="AC15" s="25">
        <f t="shared" si="0"/>
        <v>6.3415933919531042E-2</v>
      </c>
      <c r="AD15">
        <v>0.12</v>
      </c>
      <c r="AE15" s="25">
        <f t="shared" si="1"/>
        <v>1.379310344827586E-2</v>
      </c>
    </row>
    <row r="16" spans="2:31" x14ac:dyDescent="0.3">
      <c r="B16" s="22">
        <v>73.25</v>
      </c>
      <c r="C16" s="22">
        <v>34.159999999999997</v>
      </c>
      <c r="D16" s="22">
        <v>71.45</v>
      </c>
      <c r="E16" s="22">
        <v>50.32</v>
      </c>
      <c r="J16" s="22">
        <v>25.11</v>
      </c>
      <c r="K16" s="22">
        <v>17.079999999999998</v>
      </c>
      <c r="L16" s="22">
        <v>74.739999999999995</v>
      </c>
      <c r="M16" s="22">
        <v>67.319999999999993</v>
      </c>
      <c r="P16" s="26">
        <v>0.5</v>
      </c>
      <c r="Q16">
        <v>0.182</v>
      </c>
      <c r="R16" s="25">
        <f t="shared" si="2"/>
        <v>2.5601350400900266E-2</v>
      </c>
      <c r="S16">
        <v>8.3000000000000004E-2</v>
      </c>
      <c r="T16" s="25">
        <f t="shared" si="3"/>
        <v>8.6675020885547197E-3</v>
      </c>
      <c r="U16">
        <v>9.8000000000000004E-2</v>
      </c>
      <c r="V16" s="25">
        <f t="shared" si="3"/>
        <v>1.023391812865497E-2</v>
      </c>
      <c r="W16" s="25"/>
      <c r="X16">
        <v>0.57399999999999995</v>
      </c>
      <c r="Y16" s="25">
        <f t="shared" si="4"/>
        <v>3.9681991012789478E-2</v>
      </c>
      <c r="Z16">
        <v>0.59399999999999997</v>
      </c>
      <c r="AA16" s="25">
        <f t="shared" si="4"/>
        <v>4.1064638783269949E-2</v>
      </c>
      <c r="AB16">
        <v>0.77200000000000002</v>
      </c>
      <c r="AC16" s="25">
        <f t="shared" si="0"/>
        <v>6.8567368327560177E-2</v>
      </c>
      <c r="AD16">
        <v>0.13400000000000001</v>
      </c>
      <c r="AE16" s="25">
        <f t="shared" si="1"/>
        <v>1.5402298850574711E-2</v>
      </c>
    </row>
    <row r="17" spans="2:31" x14ac:dyDescent="0.3">
      <c r="B17" s="22">
        <v>75.25</v>
      </c>
      <c r="C17" s="22">
        <v>41.98</v>
      </c>
      <c r="D17" s="22">
        <v>48.82</v>
      </c>
      <c r="E17" s="22">
        <v>43.93</v>
      </c>
      <c r="J17" s="22">
        <v>24.76</v>
      </c>
      <c r="K17" s="22">
        <v>27.57</v>
      </c>
      <c r="L17" s="22">
        <v>80.180000000000007</v>
      </c>
      <c r="M17" s="22">
        <v>69.39</v>
      </c>
      <c r="P17" s="26">
        <v>0.54166666666666696</v>
      </c>
      <c r="Q17">
        <v>6.9000000000000006E-2</v>
      </c>
      <c r="R17" s="25">
        <f t="shared" si="2"/>
        <v>9.706006470670981E-3</v>
      </c>
      <c r="S17">
        <v>0.124</v>
      </c>
      <c r="T17" s="25">
        <f t="shared" si="3"/>
        <v>1.2949039264828738E-2</v>
      </c>
      <c r="U17">
        <v>9.8000000000000004E-2</v>
      </c>
      <c r="V17" s="25">
        <f t="shared" si="3"/>
        <v>1.023391812865497E-2</v>
      </c>
      <c r="W17" s="25"/>
      <c r="X17">
        <v>1.137</v>
      </c>
      <c r="Y17" s="25">
        <f t="shared" si="4"/>
        <v>7.8603525751814701E-2</v>
      </c>
      <c r="Z17">
        <v>0.245</v>
      </c>
      <c r="AA17" s="25">
        <f t="shared" si="4"/>
        <v>1.6937435188385756E-2</v>
      </c>
      <c r="AB17">
        <v>0.371</v>
      </c>
      <c r="AC17" s="25">
        <f t="shared" si="0"/>
        <v>3.295141664446221E-2</v>
      </c>
      <c r="AD17">
        <v>0.30199999999999999</v>
      </c>
      <c r="AE17" s="25">
        <f t="shared" si="1"/>
        <v>3.4712643678160918E-2</v>
      </c>
    </row>
    <row r="18" spans="2:31" x14ac:dyDescent="0.3">
      <c r="B18" s="22">
        <v>58.08</v>
      </c>
      <c r="C18" s="22">
        <v>44.44</v>
      </c>
      <c r="D18" s="22">
        <v>47.56</v>
      </c>
      <c r="E18" s="22">
        <v>45.49</v>
      </c>
      <c r="J18" s="22">
        <v>33.880000000000003</v>
      </c>
      <c r="K18" s="22">
        <v>20.059999999999999</v>
      </c>
      <c r="L18" s="22">
        <v>69.88</v>
      </c>
      <c r="M18" s="22">
        <v>71.37</v>
      </c>
      <c r="P18" s="26">
        <v>0.58333333333333304</v>
      </c>
      <c r="Q18">
        <v>0.28199999999999997</v>
      </c>
      <c r="R18" s="25">
        <f t="shared" si="2"/>
        <v>3.966802644535096E-2</v>
      </c>
      <c r="S18">
        <v>0.193</v>
      </c>
      <c r="T18" s="25">
        <f t="shared" si="3"/>
        <v>2.015455304928989E-2</v>
      </c>
      <c r="U18">
        <v>7.2999999999999995E-2</v>
      </c>
      <c r="V18" s="25">
        <f t="shared" si="3"/>
        <v>7.6232247284878851E-3</v>
      </c>
      <c r="W18" s="25"/>
      <c r="X18">
        <v>0.89500000000000002</v>
      </c>
      <c r="Y18" s="25">
        <f t="shared" si="4"/>
        <v>6.1873487729001024E-2</v>
      </c>
      <c r="Z18">
        <v>1.649</v>
      </c>
      <c r="AA18" s="25">
        <f t="shared" si="4"/>
        <v>0.11399930867611474</v>
      </c>
      <c r="AB18">
        <v>0.90200000000000002</v>
      </c>
      <c r="AC18" s="25">
        <f t="shared" si="0"/>
        <v>8.0113686828315128E-2</v>
      </c>
      <c r="AD18">
        <v>0.53</v>
      </c>
      <c r="AE18" s="25">
        <f t="shared" si="1"/>
        <v>6.091954022988505E-2</v>
      </c>
    </row>
    <row r="19" spans="2:31" x14ac:dyDescent="0.3">
      <c r="B19" s="22">
        <v>61.7</v>
      </c>
      <c r="C19" s="22">
        <v>52.43</v>
      </c>
      <c r="D19" s="22">
        <v>43.75</v>
      </c>
      <c r="E19" s="22">
        <v>47.98</v>
      </c>
      <c r="J19" s="22">
        <v>39.4</v>
      </c>
      <c r="K19" s="22">
        <v>25.45</v>
      </c>
      <c r="L19" s="22">
        <v>44.06</v>
      </c>
      <c r="M19" s="22">
        <v>72.959999999999994</v>
      </c>
      <c r="P19" s="26">
        <v>0.625</v>
      </c>
      <c r="Q19">
        <v>0.29599999999999999</v>
      </c>
      <c r="R19" s="25">
        <f t="shared" si="2"/>
        <v>4.1637361091574059E-2</v>
      </c>
      <c r="S19">
        <v>0.17799999999999999</v>
      </c>
      <c r="T19" s="25">
        <f t="shared" si="3"/>
        <v>1.858813700918964E-2</v>
      </c>
      <c r="U19">
        <v>0.09</v>
      </c>
      <c r="V19" s="25">
        <f t="shared" si="3"/>
        <v>9.3984962406015032E-3</v>
      </c>
      <c r="W19" s="25"/>
      <c r="X19">
        <v>0.752</v>
      </c>
      <c r="Y19" s="25">
        <f t="shared" si="4"/>
        <v>5.198755617006566E-2</v>
      </c>
      <c r="Z19">
        <v>0.73899999999999999</v>
      </c>
      <c r="AA19" s="25">
        <f t="shared" si="4"/>
        <v>5.1088835119253356E-2</v>
      </c>
      <c r="AB19">
        <v>1.093</v>
      </c>
      <c r="AC19" s="25">
        <f t="shared" si="0"/>
        <v>9.7077893240962776E-2</v>
      </c>
      <c r="AD19">
        <v>0.65400000000000003</v>
      </c>
      <c r="AE19" s="25">
        <f t="shared" si="1"/>
        <v>7.5172413793103438E-2</v>
      </c>
    </row>
    <row r="20" spans="2:31" x14ac:dyDescent="0.3">
      <c r="B20" s="22">
        <v>71.790000000000006</v>
      </c>
      <c r="C20" s="22">
        <v>59.4</v>
      </c>
      <c r="D20" s="22">
        <v>49.41</v>
      </c>
      <c r="E20" s="22">
        <v>52.37</v>
      </c>
      <c r="J20" s="22">
        <v>42.41</v>
      </c>
      <c r="K20" s="22">
        <v>28.57</v>
      </c>
      <c r="L20" s="22">
        <v>45.96</v>
      </c>
      <c r="M20" s="22">
        <v>76.040000000000006</v>
      </c>
      <c r="P20" s="26">
        <v>0.66666666666666696</v>
      </c>
      <c r="Q20">
        <v>0.153</v>
      </c>
      <c r="R20" s="25">
        <f t="shared" si="2"/>
        <v>2.1522014348009565E-2</v>
      </c>
      <c r="S20">
        <v>5.1999999999999998E-2</v>
      </c>
      <c r="T20" s="25">
        <f t="shared" si="3"/>
        <v>5.4302422723475352E-3</v>
      </c>
      <c r="U20">
        <v>9.0999999999999998E-2</v>
      </c>
      <c r="V20" s="25">
        <f t="shared" si="3"/>
        <v>9.5029239766081866E-3</v>
      </c>
      <c r="W20" s="25"/>
      <c r="X20">
        <v>0.71599999999999997</v>
      </c>
      <c r="Y20" s="25">
        <f t="shared" si="4"/>
        <v>4.9498790183200816E-2</v>
      </c>
      <c r="Z20">
        <v>1.1599999999999999</v>
      </c>
      <c r="AA20" s="25">
        <f t="shared" si="4"/>
        <v>8.0193570687867241E-2</v>
      </c>
      <c r="AB20">
        <v>0.91700000000000004</v>
      </c>
      <c r="AC20" s="25">
        <f t="shared" si="0"/>
        <v>8.1445954347633007E-2</v>
      </c>
      <c r="AD20">
        <v>0.81299999999999994</v>
      </c>
      <c r="AE20" s="25">
        <f t="shared" si="1"/>
        <v>9.3448275862068941E-2</v>
      </c>
    </row>
    <row r="21" spans="2:31" x14ac:dyDescent="0.3">
      <c r="B21" s="22">
        <v>74.77</v>
      </c>
      <c r="C21" s="22">
        <v>61.47</v>
      </c>
      <c r="D21" s="22">
        <v>63.14</v>
      </c>
      <c r="E21" s="22">
        <v>46.46</v>
      </c>
      <c r="J21" s="22">
        <v>42.53</v>
      </c>
      <c r="K21" s="22">
        <v>35.369999999999997</v>
      </c>
      <c r="L21" s="22">
        <v>52.57</v>
      </c>
      <c r="M21" s="22">
        <v>78.98</v>
      </c>
      <c r="P21" s="26">
        <v>0.70833333333333304</v>
      </c>
      <c r="Q21">
        <v>0.23499999999999999</v>
      </c>
      <c r="R21" s="25">
        <f t="shared" si="2"/>
        <v>3.3056688704459138E-2</v>
      </c>
      <c r="S21">
        <v>0.13700000000000001</v>
      </c>
      <c r="T21" s="25">
        <f t="shared" si="3"/>
        <v>1.4306599832915623E-2</v>
      </c>
      <c r="U21">
        <v>6.8000000000000005E-2</v>
      </c>
      <c r="V21" s="25">
        <f t="shared" si="3"/>
        <v>7.10108604845447E-3</v>
      </c>
      <c r="W21" s="25"/>
      <c r="X21">
        <v>0.71699999999999997</v>
      </c>
      <c r="Y21" s="25">
        <f t="shared" si="4"/>
        <v>4.9567922571724841E-2</v>
      </c>
      <c r="Z21">
        <v>0.49399999999999999</v>
      </c>
      <c r="AA21" s="25">
        <f t="shared" si="4"/>
        <v>3.4151399930867604E-2</v>
      </c>
      <c r="AB21">
        <v>0.55800000000000005</v>
      </c>
      <c r="AC21" s="25">
        <f t="shared" si="0"/>
        <v>4.9560351718625106E-2</v>
      </c>
      <c r="AD21">
        <v>0.255</v>
      </c>
      <c r="AE21" s="25">
        <f t="shared" si="1"/>
        <v>2.9310344827586203E-2</v>
      </c>
    </row>
    <row r="22" spans="2:31" x14ac:dyDescent="0.3">
      <c r="B22" s="22">
        <v>64.5</v>
      </c>
      <c r="C22" s="22">
        <v>58.65</v>
      </c>
      <c r="D22" s="22">
        <v>64.72</v>
      </c>
      <c r="E22" s="22">
        <v>45.93</v>
      </c>
      <c r="J22" s="22">
        <v>41.95</v>
      </c>
      <c r="K22" s="22">
        <v>40.950000000000003</v>
      </c>
      <c r="L22" s="22">
        <v>57.72</v>
      </c>
      <c r="M22" s="22">
        <v>73.02</v>
      </c>
      <c r="P22" s="26">
        <v>0.75</v>
      </c>
      <c r="Q22">
        <v>0.11600000000000001</v>
      </c>
      <c r="R22" s="25">
        <f t="shared" si="2"/>
        <v>1.631734421156281E-2</v>
      </c>
      <c r="S22">
        <v>0.495</v>
      </c>
      <c r="T22" s="25">
        <f t="shared" si="3"/>
        <v>5.1691729323308268E-2</v>
      </c>
      <c r="U22">
        <v>0.219</v>
      </c>
      <c r="V22" s="25">
        <f t="shared" si="3"/>
        <v>2.2869674185463658E-2</v>
      </c>
      <c r="W22" s="25"/>
      <c r="X22">
        <v>0.38200000000000001</v>
      </c>
      <c r="Y22" s="25">
        <f t="shared" si="4"/>
        <v>2.6408572416176973E-2</v>
      </c>
      <c r="Z22">
        <v>1.286</v>
      </c>
      <c r="AA22" s="25">
        <f t="shared" si="4"/>
        <v>8.8904251641894208E-2</v>
      </c>
      <c r="AB22">
        <v>0.40100000000000002</v>
      </c>
      <c r="AC22" s="25">
        <f t="shared" si="0"/>
        <v>3.5615951683097967E-2</v>
      </c>
      <c r="AD22">
        <v>0.52500000000000002</v>
      </c>
      <c r="AE22" s="25">
        <f t="shared" si="1"/>
        <v>6.0344827586206892E-2</v>
      </c>
    </row>
    <row r="23" spans="2:31" x14ac:dyDescent="0.3">
      <c r="B23" s="22">
        <v>96.25</v>
      </c>
      <c r="C23" s="22">
        <v>56.61</v>
      </c>
      <c r="D23" s="22">
        <v>61.79</v>
      </c>
      <c r="E23" s="22">
        <v>34.65</v>
      </c>
      <c r="J23" s="22">
        <v>30.53</v>
      </c>
      <c r="K23" s="22">
        <v>53.6</v>
      </c>
      <c r="L23" s="22">
        <v>63.76</v>
      </c>
      <c r="M23" s="22">
        <v>80.11</v>
      </c>
      <c r="P23" s="26">
        <v>0.79166666666666696</v>
      </c>
      <c r="Q23">
        <v>0.21199999999999999</v>
      </c>
      <c r="R23" s="25">
        <f t="shared" si="2"/>
        <v>2.9821353214235475E-2</v>
      </c>
      <c r="S23">
        <v>0.41</v>
      </c>
      <c r="T23" s="25">
        <f t="shared" si="3"/>
        <v>4.2815371762740181E-2</v>
      </c>
      <c r="U23">
        <v>0.371</v>
      </c>
      <c r="V23" s="25">
        <f t="shared" si="3"/>
        <v>3.874269005847953E-2</v>
      </c>
      <c r="W23" s="25"/>
      <c r="X23">
        <v>0.49299999999999999</v>
      </c>
      <c r="Y23" s="25">
        <f t="shared" si="4"/>
        <v>3.4082267542343579E-2</v>
      </c>
      <c r="Z23">
        <v>0.89100000000000001</v>
      </c>
      <c r="AA23" s="25">
        <f t="shared" si="4"/>
        <v>6.1596958174904931E-2</v>
      </c>
      <c r="AB23">
        <v>0.48</v>
      </c>
      <c r="AC23" s="25">
        <f t="shared" si="0"/>
        <v>4.2632560618172125E-2</v>
      </c>
      <c r="AD23">
        <v>0.77900000000000003</v>
      </c>
      <c r="AE23" s="25">
        <f t="shared" si="1"/>
        <v>8.9540229885057457E-2</v>
      </c>
    </row>
    <row r="24" spans="2:31" x14ac:dyDescent="0.3">
      <c r="B24" s="22">
        <v>100.78</v>
      </c>
      <c r="C24" s="22">
        <v>52.83</v>
      </c>
      <c r="D24" s="22">
        <v>64.52</v>
      </c>
      <c r="E24" s="22">
        <v>30.19</v>
      </c>
      <c r="J24" s="22">
        <v>23.18</v>
      </c>
      <c r="K24" s="22">
        <v>59.34</v>
      </c>
      <c r="L24" s="22">
        <v>62.47</v>
      </c>
      <c r="M24" s="22">
        <v>72.900000000000006</v>
      </c>
      <c r="P24" s="26">
        <v>0.83333333333333304</v>
      </c>
      <c r="Q24">
        <v>0.57299999999999995</v>
      </c>
      <c r="R24" s="25">
        <f t="shared" si="2"/>
        <v>8.0602053734702486E-2</v>
      </c>
      <c r="S24">
        <v>0.99299999999999999</v>
      </c>
      <c r="T24" s="25">
        <f t="shared" si="3"/>
        <v>0.10369674185463658</v>
      </c>
      <c r="U24">
        <v>0.52500000000000002</v>
      </c>
      <c r="V24" s="25">
        <f t="shared" si="3"/>
        <v>5.4824561403508769E-2</v>
      </c>
      <c r="W24" s="25"/>
      <c r="X24">
        <v>0.48699999999999999</v>
      </c>
      <c r="Y24" s="25">
        <f t="shared" si="4"/>
        <v>3.3667473211199436E-2</v>
      </c>
      <c r="Z24">
        <v>0.56999999999999995</v>
      </c>
      <c r="AA24" s="25">
        <f t="shared" si="4"/>
        <v>3.9405461458693385E-2</v>
      </c>
      <c r="AB24">
        <v>0.45600000000000002</v>
      </c>
      <c r="AC24" s="25">
        <f t="shared" si="0"/>
        <v>4.0500932587263526E-2</v>
      </c>
      <c r="AD24">
        <v>0.73599999999999999</v>
      </c>
      <c r="AE24" s="25">
        <f t="shared" si="1"/>
        <v>8.4597701149425275E-2</v>
      </c>
    </row>
    <row r="25" spans="2:31" x14ac:dyDescent="0.3">
      <c r="B25" s="22">
        <v>92.71</v>
      </c>
      <c r="C25" s="22">
        <v>61.81</v>
      </c>
      <c r="D25" s="22">
        <v>75.03</v>
      </c>
      <c r="E25" s="22">
        <v>27.81</v>
      </c>
      <c r="J25" s="22">
        <v>9.48</v>
      </c>
      <c r="K25" s="22">
        <v>63.22</v>
      </c>
      <c r="L25" s="22">
        <v>40.340000000000003</v>
      </c>
      <c r="M25" s="22">
        <v>74.22</v>
      </c>
      <c r="P25" s="26">
        <v>0.875</v>
      </c>
      <c r="Q25">
        <v>0.35099999999999998</v>
      </c>
      <c r="R25" s="25">
        <f t="shared" si="2"/>
        <v>4.9374032916021944E-2</v>
      </c>
      <c r="S25">
        <v>0.90700000000000003</v>
      </c>
      <c r="T25" s="25">
        <f t="shared" si="3"/>
        <v>9.4715956558061823E-2</v>
      </c>
      <c r="U25">
        <v>0.54300000000000004</v>
      </c>
      <c r="V25" s="25">
        <f t="shared" si="3"/>
        <v>5.6704260651629076E-2</v>
      </c>
      <c r="W25" s="25"/>
      <c r="X25">
        <v>0.61799999999999999</v>
      </c>
      <c r="Y25" s="25">
        <f t="shared" si="4"/>
        <v>4.2723816107846514E-2</v>
      </c>
      <c r="Z25">
        <v>0.746</v>
      </c>
      <c r="AA25" s="25">
        <f t="shared" si="4"/>
        <v>5.1572761838921524E-2</v>
      </c>
      <c r="AB25">
        <v>0.43</v>
      </c>
      <c r="AC25" s="25">
        <f t="shared" si="0"/>
        <v>3.8191668887112527E-2</v>
      </c>
      <c r="AD25">
        <v>0.77100000000000002</v>
      </c>
      <c r="AE25" s="25">
        <f t="shared" si="1"/>
        <v>8.8620689655172405E-2</v>
      </c>
    </row>
    <row r="26" spans="2:31" x14ac:dyDescent="0.3">
      <c r="B26" s="22">
        <v>79.040000000000006</v>
      </c>
      <c r="C26" s="22">
        <v>78.599999999999994</v>
      </c>
      <c r="D26" s="22">
        <v>70.72</v>
      </c>
      <c r="E26" s="22">
        <v>25.99</v>
      </c>
      <c r="J26" s="22">
        <v>4.0599999999999996</v>
      </c>
      <c r="K26" s="22">
        <v>63.09</v>
      </c>
      <c r="L26" s="22">
        <v>54.48</v>
      </c>
      <c r="M26" s="22">
        <v>90.63</v>
      </c>
      <c r="P26" s="26">
        <v>0.91666666666666696</v>
      </c>
      <c r="Q26">
        <v>0.308</v>
      </c>
      <c r="R26" s="25">
        <f t="shared" si="2"/>
        <v>4.3325362216908143E-2</v>
      </c>
      <c r="S26">
        <v>0.86799999999999999</v>
      </c>
      <c r="T26" s="25">
        <f t="shared" si="3"/>
        <v>9.0643274853801165E-2</v>
      </c>
      <c r="U26">
        <v>1.33</v>
      </c>
      <c r="V26" s="25">
        <f t="shared" si="3"/>
        <v>0.1388888888888889</v>
      </c>
      <c r="W26" s="25"/>
      <c r="X26">
        <v>0.53900000000000003</v>
      </c>
      <c r="Y26" s="25">
        <f t="shared" si="4"/>
        <v>3.7262357414448666E-2</v>
      </c>
      <c r="Z26">
        <v>0.371</v>
      </c>
      <c r="AA26" s="25">
        <f t="shared" si="4"/>
        <v>2.5648116142412716E-2</v>
      </c>
      <c r="AB26">
        <v>0.41099999999999998</v>
      </c>
      <c r="AC26" s="25">
        <f t="shared" si="0"/>
        <v>3.6504130029309884E-2</v>
      </c>
      <c r="AD26">
        <v>0.34300000000000003</v>
      </c>
      <c r="AE26" s="25">
        <f t="shared" si="1"/>
        <v>3.9425287356321836E-2</v>
      </c>
    </row>
    <row r="27" spans="2:31" x14ac:dyDescent="0.3">
      <c r="B27" s="22">
        <v>69.37</v>
      </c>
      <c r="C27" s="22">
        <v>91.3</v>
      </c>
      <c r="D27" s="22">
        <v>62.2</v>
      </c>
      <c r="E27" s="22">
        <v>57.7</v>
      </c>
      <c r="J27" s="22">
        <v>0</v>
      </c>
      <c r="K27" s="22">
        <v>64.260000000000005</v>
      </c>
      <c r="L27" s="22">
        <v>57.99</v>
      </c>
      <c r="M27" s="22">
        <v>87.77</v>
      </c>
      <c r="P27" s="26">
        <v>0.95833333333333304</v>
      </c>
      <c r="Q27">
        <v>0.27400000000000002</v>
      </c>
      <c r="R27" s="25">
        <f t="shared" si="2"/>
        <v>3.854269236179491E-2</v>
      </c>
      <c r="S27">
        <v>0.25700000000000001</v>
      </c>
      <c r="T27" s="25">
        <f t="shared" si="3"/>
        <v>2.6837928153717626E-2</v>
      </c>
      <c r="U27">
        <v>0.72199999999999998</v>
      </c>
      <c r="V27" s="25">
        <f t="shared" si="3"/>
        <v>7.5396825396825393E-2</v>
      </c>
      <c r="W27" s="25"/>
      <c r="X27">
        <v>0.78700000000000003</v>
      </c>
      <c r="Y27" s="25">
        <f t="shared" si="4"/>
        <v>5.4407189768406486E-2</v>
      </c>
      <c r="Z27">
        <v>0.499</v>
      </c>
      <c r="AA27" s="25">
        <f t="shared" si="4"/>
        <v>3.4497061873487722E-2</v>
      </c>
      <c r="AB27">
        <v>0.246</v>
      </c>
      <c r="AC27" s="25">
        <f t="shared" si="0"/>
        <v>2.1849187316813214E-2</v>
      </c>
      <c r="AD27">
        <v>0.17199999999999999</v>
      </c>
      <c r="AE27" s="25">
        <f t="shared" si="1"/>
        <v>1.9770114942528731E-2</v>
      </c>
    </row>
    <row r="28" spans="2:31" x14ac:dyDescent="0.3">
      <c r="B28" s="22">
        <v>67.39</v>
      </c>
      <c r="C28" s="22">
        <v>88.06</v>
      </c>
      <c r="D28" s="22">
        <v>63.56</v>
      </c>
      <c r="E28" s="22">
        <v>58.71</v>
      </c>
      <c r="J28" s="22">
        <v>24.44</v>
      </c>
      <c r="K28" s="22">
        <v>72.08</v>
      </c>
      <c r="L28" s="22">
        <v>49.16</v>
      </c>
      <c r="M28" s="22">
        <v>67.8</v>
      </c>
    </row>
    <row r="29" spans="2:31" x14ac:dyDescent="0.3">
      <c r="B29" s="22">
        <v>71.89</v>
      </c>
      <c r="C29" s="22">
        <v>84.08</v>
      </c>
      <c r="D29" s="22">
        <v>61.54</v>
      </c>
      <c r="E29" s="22">
        <v>63.35</v>
      </c>
      <c r="J29" s="22">
        <v>19.52</v>
      </c>
      <c r="K29" s="22">
        <v>78.16</v>
      </c>
      <c r="L29" s="22">
        <v>58.65</v>
      </c>
      <c r="M29" s="22">
        <v>55.17</v>
      </c>
      <c r="Q29">
        <f>SUM(Q4:Q27)</f>
        <v>7.109</v>
      </c>
      <c r="S29">
        <f>SUM(S4:S27)</f>
        <v>9.5760000000000005</v>
      </c>
      <c r="U29">
        <f>SUM(U4:U27)</f>
        <v>10.661</v>
      </c>
      <c r="X29">
        <f>SUM(X4:X27)</f>
        <v>15.135000000000002</v>
      </c>
      <c r="Z29">
        <f>SUM(Z4:Z27)</f>
        <v>14.465000000000003</v>
      </c>
      <c r="AB29">
        <f>SUM(AB4:AB27)</f>
        <v>11.259</v>
      </c>
      <c r="AD29">
        <f>SUM(AD4:AD27)</f>
        <v>8.7000000000000011</v>
      </c>
    </row>
    <row r="30" spans="2:31" x14ac:dyDescent="0.3">
      <c r="B30" s="22">
        <v>83.64</v>
      </c>
      <c r="C30" s="22">
        <v>83.4</v>
      </c>
      <c r="D30" s="22">
        <v>60.67</v>
      </c>
      <c r="E30" s="22">
        <v>58.56</v>
      </c>
      <c r="J30" s="22">
        <v>14.93</v>
      </c>
      <c r="K30" s="22">
        <v>78.52</v>
      </c>
      <c r="L30" s="22">
        <v>70.180000000000007</v>
      </c>
      <c r="M30" s="22">
        <v>51.19</v>
      </c>
    </row>
    <row r="31" spans="2:31" x14ac:dyDescent="0.3">
      <c r="B31" s="22">
        <v>71.3</v>
      </c>
      <c r="C31" s="22">
        <v>67.290000000000006</v>
      </c>
      <c r="D31" s="22">
        <v>55.12</v>
      </c>
      <c r="E31" s="22">
        <v>56.25</v>
      </c>
      <c r="J31" s="22">
        <v>7.05</v>
      </c>
      <c r="K31" s="22">
        <v>70.8</v>
      </c>
      <c r="L31" s="22">
        <v>70.67</v>
      </c>
      <c r="M31" s="22">
        <v>68.53</v>
      </c>
    </row>
    <row r="32" spans="2:31" x14ac:dyDescent="0.3">
      <c r="B32" s="22">
        <v>70.27</v>
      </c>
      <c r="D32" s="22">
        <v>42.87</v>
      </c>
      <c r="E32" s="22">
        <v>34.270000000000003</v>
      </c>
      <c r="J32" s="22">
        <v>11.08</v>
      </c>
      <c r="K32" s="22">
        <v>71.400000000000006</v>
      </c>
      <c r="L32" s="22">
        <v>56.55</v>
      </c>
      <c r="M32" s="22">
        <v>73.42</v>
      </c>
    </row>
    <row r="33" spans="2:30" x14ac:dyDescent="0.3">
      <c r="B33" s="22">
        <v>70.14</v>
      </c>
      <c r="D33" s="22">
        <v>33.42</v>
      </c>
      <c r="E33" s="22">
        <v>58.23</v>
      </c>
      <c r="J33" s="22">
        <v>11.03</v>
      </c>
      <c r="K33" s="22">
        <v>77.64</v>
      </c>
      <c r="L33" s="22">
        <v>57.19</v>
      </c>
      <c r="M33" s="22">
        <v>39.04</v>
      </c>
    </row>
    <row r="34" spans="2:30" x14ac:dyDescent="0.3">
      <c r="B34" s="22">
        <v>71.64</v>
      </c>
      <c r="D34" s="22">
        <v>30.22</v>
      </c>
      <c r="J34" s="22">
        <v>14.03</v>
      </c>
      <c r="L34" s="22">
        <v>66.98</v>
      </c>
      <c r="M34" s="22">
        <v>54.93</v>
      </c>
    </row>
    <row r="36" spans="2:30" x14ac:dyDescent="0.3">
      <c r="B36" s="28" t="s">
        <v>110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Q36" s="29" t="s">
        <v>98</v>
      </c>
      <c r="R36" s="29" t="s">
        <v>99</v>
      </c>
      <c r="S36" s="29" t="s">
        <v>100</v>
      </c>
      <c r="T36" s="29" t="s">
        <v>101</v>
      </c>
      <c r="U36" s="29" t="s">
        <v>102</v>
      </c>
      <c r="V36" s="29" t="s">
        <v>103</v>
      </c>
      <c r="W36" s="29" t="s">
        <v>104</v>
      </c>
      <c r="X36" s="29" t="s">
        <v>105</v>
      </c>
      <c r="Y36" s="29" t="s">
        <v>106</v>
      </c>
      <c r="Z36" s="29" t="s">
        <v>107</v>
      </c>
      <c r="AA36" s="29" t="s">
        <v>108</v>
      </c>
      <c r="AB36" s="29" t="s">
        <v>109</v>
      </c>
      <c r="AC36" s="29"/>
    </row>
    <row r="37" spans="2:30" x14ac:dyDescent="0.3">
      <c r="B37">
        <f>Budynek!$C$10/12</f>
        <v>247.57751937984494</v>
      </c>
      <c r="C37">
        <f>Budynek!$C$10/12</f>
        <v>247.57751937984494</v>
      </c>
      <c r="D37">
        <f>Budynek!$C$10/12</f>
        <v>247.57751937984494</v>
      </c>
      <c r="E37">
        <f>Budynek!$C$10/12</f>
        <v>247.57751937984494</v>
      </c>
      <c r="F37">
        <f>Budynek!$C$10/12</f>
        <v>247.57751937984494</v>
      </c>
      <c r="G37">
        <f>Budynek!$C$10/12</f>
        <v>247.57751937984494</v>
      </c>
      <c r="H37">
        <f>Budynek!$C$10/12</f>
        <v>247.57751937984494</v>
      </c>
      <c r="I37">
        <f>Budynek!$C$10/12</f>
        <v>247.57751937984494</v>
      </c>
      <c r="J37">
        <f>Budynek!$C$10/12</f>
        <v>247.57751937984494</v>
      </c>
      <c r="K37">
        <f>Budynek!$C$10/12</f>
        <v>247.57751937984494</v>
      </c>
      <c r="L37">
        <f>Budynek!$C$10/12</f>
        <v>247.57751937984494</v>
      </c>
      <c r="M37">
        <f>Budynek!$C$10/12</f>
        <v>247.57751937984494</v>
      </c>
      <c r="Q37">
        <v>361.8</v>
      </c>
      <c r="R37">
        <v>324.39999999999998</v>
      </c>
      <c r="S37">
        <v>322.5</v>
      </c>
      <c r="T37">
        <v>283.7</v>
      </c>
      <c r="U37">
        <v>301.8</v>
      </c>
      <c r="V37">
        <v>336.1</v>
      </c>
      <c r="W37">
        <v>344.5</v>
      </c>
      <c r="X37">
        <v>324.89999999999998</v>
      </c>
      <c r="Y37">
        <v>332.6</v>
      </c>
      <c r="Z37">
        <v>382.4</v>
      </c>
      <c r="AA37">
        <v>366.4</v>
      </c>
      <c r="AB37">
        <v>349.1</v>
      </c>
      <c r="AC37" s="34"/>
      <c r="AD37" s="30"/>
    </row>
    <row r="38" spans="2:30" x14ac:dyDescent="0.3">
      <c r="Q38" s="25">
        <f>Q37/SUM($Q$37:$AB$37)</f>
        <v>8.9772219740955783E-2</v>
      </c>
      <c r="R38" s="25">
        <f t="shared" ref="R38:AB38" si="5">R37/SUM($Q$37:$AB$37)</f>
        <v>8.0492283261376599E-2</v>
      </c>
      <c r="S38" s="25">
        <f t="shared" si="5"/>
        <v>8.0020842638082471E-2</v>
      </c>
      <c r="T38" s="25">
        <f t="shared" si="5"/>
        <v>7.039352885712867E-2</v>
      </c>
      <c r="U38" s="25">
        <f t="shared" si="5"/>
        <v>7.4884621110614849E-2</v>
      </c>
      <c r="V38" s="25">
        <f t="shared" si="5"/>
        <v>8.3395364994293092E-2</v>
      </c>
      <c r="W38" s="25">
        <f t="shared" si="5"/>
        <v>8.5479628802540814E-2</v>
      </c>
      <c r="X38" s="25">
        <f t="shared" si="5"/>
        <v>8.0616346583296097E-2</v>
      </c>
      <c r="Y38" s="25">
        <f t="shared" si="5"/>
        <v>8.2526921740856532E-2</v>
      </c>
      <c r="Z38" s="25">
        <f t="shared" si="5"/>
        <v>9.4883628604039497E-2</v>
      </c>
      <c r="AA38" s="25">
        <f t="shared" si="5"/>
        <v>9.0913602302615248E-2</v>
      </c>
      <c r="AB38" s="25">
        <f t="shared" si="5"/>
        <v>8.6621011364200293E-2</v>
      </c>
    </row>
    <row r="39" spans="2:30" x14ac:dyDescent="0.3">
      <c r="B39">
        <f>SUM(B4:B34)/Budynek!$C$14+B37/Budynek!$D$14</f>
        <v>668.70669354197821</v>
      </c>
      <c r="C39">
        <f>SUM(C4:C34)/Budynek!$C$14+C37/Budynek!$D$14</f>
        <v>595.84993678522142</v>
      </c>
      <c r="D39">
        <f>SUM(D4:D34)/Budynek!$C$14+D37/Budynek!$D$14</f>
        <v>560.06074759603234</v>
      </c>
      <c r="E39">
        <f>SUM(E4:E34)/Budynek!$C$14+E37/Budynek!$D$14</f>
        <v>431.817504352789</v>
      </c>
      <c r="F39">
        <f>SUM(F4:F34)/Budynek!$C$14+F37/Budynek!$D$14</f>
        <v>85.371558406843093</v>
      </c>
      <c r="G39">
        <f>SUM(G4:G34)/Budynek!$C$14+G37/Budynek!$D$14</f>
        <v>85.371558406843093</v>
      </c>
      <c r="H39">
        <f>SUM(H4:H34)/Budynek!$C$14+H37/Budynek!$D$14</f>
        <v>85.371558406843093</v>
      </c>
      <c r="I39">
        <f>SUM(I4:I34)/Budynek!$C$14+I37/Budynek!$D$14</f>
        <v>85.371558406843093</v>
      </c>
      <c r="J39">
        <f>SUM(J4:J34)/Budynek!$C$14+J37/Budynek!$D$14</f>
        <v>284.77155840684304</v>
      </c>
      <c r="K39">
        <f>SUM(K4:K34)/Budynek!$C$14+K37/Budynek!$D$14</f>
        <v>444.83372056900532</v>
      </c>
      <c r="L39">
        <f>SUM(L4:L34)/Budynek!$C$14+L37/Budynek!$D$14</f>
        <v>552.80939624468112</v>
      </c>
      <c r="M39">
        <f>SUM(M4:M34)/Budynek!$C$14+M37/Budynek!$D$14</f>
        <v>670.18777462305934</v>
      </c>
      <c r="N39" s="34"/>
    </row>
    <row r="42" spans="2:30" x14ac:dyDescent="0.3">
      <c r="B42" s="1"/>
      <c r="F42" s="2" t="s">
        <v>46</v>
      </c>
      <c r="G42" s="2" t="s">
        <v>47</v>
      </c>
      <c r="H42" s="2" t="s">
        <v>48</v>
      </c>
      <c r="I42" s="2" t="s">
        <v>111</v>
      </c>
    </row>
    <row r="43" spans="2:30" x14ac:dyDescent="0.3">
      <c r="B43" s="169" t="s">
        <v>112</v>
      </c>
      <c r="C43" s="169"/>
      <c r="D43" s="169"/>
      <c r="E43" s="169"/>
      <c r="F43" s="33">
        <v>1</v>
      </c>
      <c r="G43" s="33"/>
      <c r="H43" s="33"/>
      <c r="I43" s="33"/>
    </row>
    <row r="44" spans="2:30" x14ac:dyDescent="0.3">
      <c r="B44" s="169" t="s">
        <v>113</v>
      </c>
      <c r="C44" s="169"/>
      <c r="D44" s="169"/>
      <c r="E44" s="169"/>
      <c r="F44" s="33"/>
      <c r="G44" s="33"/>
      <c r="H44" s="33">
        <v>0.41</v>
      </c>
      <c r="I44" s="33"/>
    </row>
    <row r="45" spans="2:30" x14ac:dyDescent="0.3">
      <c r="B45" s="169" t="s">
        <v>114</v>
      </c>
      <c r="C45" s="169"/>
      <c r="D45" s="169"/>
      <c r="E45" s="169"/>
      <c r="F45" s="33"/>
      <c r="G45" s="33"/>
      <c r="H45" s="33">
        <v>0.59</v>
      </c>
      <c r="I45" s="33"/>
    </row>
    <row r="46" spans="2:30" x14ac:dyDescent="0.3">
      <c r="B46" s="169" t="s">
        <v>115</v>
      </c>
      <c r="C46" s="169"/>
      <c r="D46" s="169"/>
      <c r="E46" s="169"/>
      <c r="F46" s="33"/>
      <c r="G46" s="33">
        <v>0.62</v>
      </c>
      <c r="H46" s="33"/>
      <c r="I46" s="33"/>
    </row>
    <row r="47" spans="2:30" x14ac:dyDescent="0.3">
      <c r="B47" s="169" t="s">
        <v>116</v>
      </c>
      <c r="C47" s="169"/>
      <c r="D47" s="169"/>
      <c r="E47" s="169"/>
      <c r="F47" s="33"/>
      <c r="G47" s="33">
        <v>0.38</v>
      </c>
      <c r="H47" s="33"/>
      <c r="I47" s="33"/>
    </row>
    <row r="48" spans="2:30" x14ac:dyDescent="0.3">
      <c r="B48" s="169" t="s">
        <v>117</v>
      </c>
      <c r="C48" s="169"/>
      <c r="D48" s="169"/>
      <c r="E48" s="169"/>
      <c r="F48" s="33"/>
      <c r="G48" s="33"/>
      <c r="H48" s="33"/>
      <c r="I48" s="33">
        <v>0.19</v>
      </c>
    </row>
    <row r="49" spans="2:9" x14ac:dyDescent="0.3">
      <c r="B49" s="169" t="s">
        <v>118</v>
      </c>
      <c r="C49" s="169"/>
      <c r="D49" s="169"/>
      <c r="E49" s="169"/>
      <c r="F49" s="33"/>
      <c r="G49" s="33"/>
      <c r="H49" s="33"/>
      <c r="I49" s="33">
        <v>0.2</v>
      </c>
    </row>
    <row r="50" spans="2:9" x14ac:dyDescent="0.3">
      <c r="B50" s="169" t="s">
        <v>119</v>
      </c>
      <c r="C50" s="169"/>
      <c r="D50" s="169"/>
      <c r="E50" s="169"/>
      <c r="F50" s="33"/>
      <c r="G50" s="33"/>
      <c r="H50" s="33"/>
      <c r="I50" s="33">
        <v>0.61</v>
      </c>
    </row>
    <row r="249" spans="2:2" x14ac:dyDescent="0.3">
      <c r="B249" s="20"/>
    </row>
    <row r="250" spans="2:2" x14ac:dyDescent="0.3">
      <c r="B250" s="20"/>
    </row>
    <row r="252" spans="2:2" x14ac:dyDescent="0.3">
      <c r="B252" s="20"/>
    </row>
    <row r="253" spans="2:2" x14ac:dyDescent="0.3">
      <c r="B253" s="20"/>
    </row>
    <row r="254" spans="2:2" x14ac:dyDescent="0.3">
      <c r="B254" s="20"/>
    </row>
    <row r="255" spans="2:2" x14ac:dyDescent="0.3">
      <c r="B255" s="20"/>
    </row>
    <row r="256" spans="2:2" x14ac:dyDescent="0.3">
      <c r="B256" s="20"/>
    </row>
    <row r="257" spans="2:2" x14ac:dyDescent="0.3">
      <c r="B257" s="20"/>
    </row>
    <row r="258" spans="2:2" x14ac:dyDescent="0.3">
      <c r="B258" s="20"/>
    </row>
    <row r="259" spans="2:2" x14ac:dyDescent="0.3">
      <c r="B259" s="20"/>
    </row>
    <row r="260" spans="2:2" x14ac:dyDescent="0.3">
      <c r="B260" s="20"/>
    </row>
    <row r="261" spans="2:2" x14ac:dyDescent="0.3">
      <c r="B261" s="20"/>
    </row>
    <row r="262" spans="2:2" x14ac:dyDescent="0.3">
      <c r="B262" s="20"/>
    </row>
    <row r="263" spans="2:2" x14ac:dyDescent="0.3">
      <c r="B263" s="20"/>
    </row>
    <row r="264" spans="2:2" x14ac:dyDescent="0.3">
      <c r="B264" s="20"/>
    </row>
    <row r="265" spans="2:2" x14ac:dyDescent="0.3">
      <c r="B265" s="20"/>
    </row>
    <row r="266" spans="2:2" x14ac:dyDescent="0.3">
      <c r="B266" s="20"/>
    </row>
    <row r="267" spans="2:2" x14ac:dyDescent="0.3">
      <c r="B267" s="20"/>
    </row>
    <row r="268" spans="2:2" x14ac:dyDescent="0.3">
      <c r="B268" s="20"/>
    </row>
    <row r="269" spans="2:2" x14ac:dyDescent="0.3">
      <c r="B269" s="20"/>
    </row>
    <row r="270" spans="2:2" x14ac:dyDescent="0.3">
      <c r="B270" s="20"/>
    </row>
    <row r="271" spans="2:2" x14ac:dyDescent="0.3">
      <c r="B271" s="20"/>
    </row>
    <row r="272" spans="2:2" x14ac:dyDescent="0.3">
      <c r="B272" s="21"/>
    </row>
    <row r="273" spans="2:2" x14ac:dyDescent="0.3">
      <c r="B273" s="20"/>
    </row>
    <row r="274" spans="2:2" x14ac:dyDescent="0.3">
      <c r="B274" s="20"/>
    </row>
    <row r="275" spans="2:2" x14ac:dyDescent="0.3">
      <c r="B275" s="20"/>
    </row>
    <row r="276" spans="2:2" x14ac:dyDescent="0.3">
      <c r="B276" s="20"/>
    </row>
    <row r="277" spans="2:2" x14ac:dyDescent="0.3">
      <c r="B277" s="20"/>
    </row>
    <row r="278" spans="2:2" x14ac:dyDescent="0.3">
      <c r="B278" s="20"/>
    </row>
    <row r="279" spans="2:2" x14ac:dyDescent="0.3">
      <c r="B279" s="20"/>
    </row>
    <row r="280" spans="2:2" x14ac:dyDescent="0.3">
      <c r="B280" s="20"/>
    </row>
    <row r="281" spans="2:2" x14ac:dyDescent="0.3">
      <c r="B281" s="20"/>
    </row>
    <row r="282" spans="2:2" x14ac:dyDescent="0.3">
      <c r="B282" s="20"/>
    </row>
    <row r="283" spans="2:2" x14ac:dyDescent="0.3">
      <c r="B283" s="20"/>
    </row>
    <row r="284" spans="2:2" x14ac:dyDescent="0.3">
      <c r="B284" s="20"/>
    </row>
    <row r="285" spans="2:2" x14ac:dyDescent="0.3">
      <c r="B285" s="20"/>
    </row>
    <row r="286" spans="2:2" x14ac:dyDescent="0.3">
      <c r="B286" s="20"/>
    </row>
    <row r="287" spans="2:2" x14ac:dyDescent="0.3">
      <c r="B287" s="20"/>
    </row>
    <row r="288" spans="2:2" x14ac:dyDescent="0.3">
      <c r="B288" s="20"/>
    </row>
    <row r="289" spans="2:2" x14ac:dyDescent="0.3">
      <c r="B289" s="20"/>
    </row>
    <row r="290" spans="2:2" x14ac:dyDescent="0.3">
      <c r="B290" s="20"/>
    </row>
    <row r="291" spans="2:2" x14ac:dyDescent="0.3">
      <c r="B291" s="20"/>
    </row>
    <row r="292" spans="2:2" x14ac:dyDescent="0.3">
      <c r="B292" s="20"/>
    </row>
    <row r="293" spans="2:2" x14ac:dyDescent="0.3">
      <c r="B293" s="20"/>
    </row>
    <row r="294" spans="2:2" x14ac:dyDescent="0.3">
      <c r="B294" s="20"/>
    </row>
    <row r="295" spans="2:2" x14ac:dyDescent="0.3">
      <c r="B295" s="20"/>
    </row>
    <row r="296" spans="2:2" x14ac:dyDescent="0.3">
      <c r="B296" s="20"/>
    </row>
    <row r="297" spans="2:2" x14ac:dyDescent="0.3">
      <c r="B297" s="20"/>
    </row>
    <row r="298" spans="2:2" x14ac:dyDescent="0.3">
      <c r="B298" s="20"/>
    </row>
    <row r="299" spans="2:2" x14ac:dyDescent="0.3">
      <c r="B299" s="20"/>
    </row>
    <row r="300" spans="2:2" x14ac:dyDescent="0.3">
      <c r="B300" s="20"/>
    </row>
    <row r="301" spans="2:2" x14ac:dyDescent="0.3">
      <c r="B301" s="20"/>
    </row>
    <row r="302" spans="2:2" x14ac:dyDescent="0.3">
      <c r="B302" s="20"/>
    </row>
    <row r="303" spans="2:2" x14ac:dyDescent="0.3">
      <c r="B303" s="20"/>
    </row>
    <row r="304" spans="2:2" x14ac:dyDescent="0.3">
      <c r="B304" s="20"/>
    </row>
    <row r="305" spans="2:2" x14ac:dyDescent="0.3">
      <c r="B305" s="20"/>
    </row>
    <row r="306" spans="2:2" x14ac:dyDescent="0.3">
      <c r="B306" s="20"/>
    </row>
    <row r="307" spans="2:2" x14ac:dyDescent="0.3">
      <c r="B307" s="20"/>
    </row>
    <row r="308" spans="2:2" x14ac:dyDescent="0.3">
      <c r="B308" s="20"/>
    </row>
    <row r="309" spans="2:2" x14ac:dyDescent="0.3">
      <c r="B309" s="20"/>
    </row>
    <row r="310" spans="2:2" x14ac:dyDescent="0.3">
      <c r="B310" s="20"/>
    </row>
    <row r="311" spans="2:2" x14ac:dyDescent="0.3">
      <c r="B311" s="20"/>
    </row>
    <row r="312" spans="2:2" x14ac:dyDescent="0.3">
      <c r="B312" s="20"/>
    </row>
    <row r="313" spans="2:2" x14ac:dyDescent="0.3">
      <c r="B313" s="20"/>
    </row>
    <row r="314" spans="2:2" x14ac:dyDescent="0.3">
      <c r="B314" s="20"/>
    </row>
    <row r="315" spans="2:2" x14ac:dyDescent="0.3">
      <c r="B315" s="20"/>
    </row>
    <row r="316" spans="2:2" x14ac:dyDescent="0.3">
      <c r="B316" s="20"/>
    </row>
    <row r="317" spans="2:2" x14ac:dyDescent="0.3">
      <c r="B317" s="20"/>
    </row>
    <row r="318" spans="2:2" x14ac:dyDescent="0.3">
      <c r="B318" s="20"/>
    </row>
    <row r="319" spans="2:2" x14ac:dyDescent="0.3">
      <c r="B319" s="20"/>
    </row>
    <row r="320" spans="2:2" x14ac:dyDescent="0.3">
      <c r="B320" s="20"/>
    </row>
    <row r="321" spans="2:2" x14ac:dyDescent="0.3">
      <c r="B321" s="20"/>
    </row>
    <row r="322" spans="2:2" x14ac:dyDescent="0.3">
      <c r="B322" s="20"/>
    </row>
    <row r="323" spans="2:2" x14ac:dyDescent="0.3">
      <c r="B323" s="20"/>
    </row>
    <row r="324" spans="2:2" x14ac:dyDescent="0.3">
      <c r="B324" s="20"/>
    </row>
    <row r="325" spans="2:2" x14ac:dyDescent="0.3">
      <c r="B325" s="20"/>
    </row>
    <row r="326" spans="2:2" x14ac:dyDescent="0.3">
      <c r="B326" s="20"/>
    </row>
    <row r="327" spans="2:2" x14ac:dyDescent="0.3">
      <c r="B327" s="20"/>
    </row>
    <row r="328" spans="2:2" x14ac:dyDescent="0.3">
      <c r="B328" s="20"/>
    </row>
    <row r="329" spans="2:2" x14ac:dyDescent="0.3">
      <c r="B329" s="20"/>
    </row>
    <row r="330" spans="2:2" x14ac:dyDescent="0.3">
      <c r="B330" s="20"/>
    </row>
    <row r="331" spans="2:2" x14ac:dyDescent="0.3">
      <c r="B331" s="20"/>
    </row>
    <row r="332" spans="2:2" x14ac:dyDescent="0.3">
      <c r="B332" s="20"/>
    </row>
    <row r="333" spans="2:2" x14ac:dyDescent="0.3">
      <c r="B333" s="20"/>
    </row>
    <row r="334" spans="2:2" x14ac:dyDescent="0.3">
      <c r="B334" s="20"/>
    </row>
    <row r="335" spans="2:2" x14ac:dyDescent="0.3">
      <c r="B335" s="20"/>
    </row>
    <row r="336" spans="2:2" x14ac:dyDescent="0.3">
      <c r="B336" s="20"/>
    </row>
    <row r="337" spans="2:2" x14ac:dyDescent="0.3">
      <c r="B337" s="20"/>
    </row>
    <row r="338" spans="2:2" x14ac:dyDescent="0.3">
      <c r="B338" s="20"/>
    </row>
    <row r="339" spans="2:2" x14ac:dyDescent="0.3">
      <c r="B339" s="20"/>
    </row>
    <row r="340" spans="2:2" x14ac:dyDescent="0.3">
      <c r="B340" s="20"/>
    </row>
    <row r="341" spans="2:2" x14ac:dyDescent="0.3">
      <c r="B341" s="20"/>
    </row>
    <row r="342" spans="2:2" x14ac:dyDescent="0.3">
      <c r="B342" s="20"/>
    </row>
    <row r="343" spans="2:2" x14ac:dyDescent="0.3">
      <c r="B343" s="20"/>
    </row>
    <row r="344" spans="2:2" x14ac:dyDescent="0.3">
      <c r="B344" s="20"/>
    </row>
    <row r="345" spans="2:2" x14ac:dyDescent="0.3">
      <c r="B345" s="20"/>
    </row>
    <row r="346" spans="2:2" x14ac:dyDescent="0.3">
      <c r="B346" s="20"/>
    </row>
    <row r="347" spans="2:2" x14ac:dyDescent="0.3">
      <c r="B347" s="20"/>
    </row>
    <row r="348" spans="2:2" x14ac:dyDescent="0.3">
      <c r="B348" s="20"/>
    </row>
    <row r="349" spans="2:2" x14ac:dyDescent="0.3">
      <c r="B349" s="20"/>
    </row>
    <row r="350" spans="2:2" x14ac:dyDescent="0.3">
      <c r="B350" s="20"/>
    </row>
    <row r="351" spans="2:2" x14ac:dyDescent="0.3">
      <c r="B351" s="20"/>
    </row>
    <row r="352" spans="2:2" x14ac:dyDescent="0.3">
      <c r="B352" s="20"/>
    </row>
    <row r="353" spans="2:2" x14ac:dyDescent="0.3">
      <c r="B353" s="20"/>
    </row>
    <row r="354" spans="2:2" x14ac:dyDescent="0.3">
      <c r="B354" s="20"/>
    </row>
    <row r="355" spans="2:2" x14ac:dyDescent="0.3">
      <c r="B355" s="20"/>
    </row>
    <row r="356" spans="2:2" x14ac:dyDescent="0.3">
      <c r="B356" s="20"/>
    </row>
    <row r="357" spans="2:2" x14ac:dyDescent="0.3">
      <c r="B357" s="20"/>
    </row>
    <row r="358" spans="2:2" x14ac:dyDescent="0.3">
      <c r="B358" s="20"/>
    </row>
    <row r="359" spans="2:2" x14ac:dyDescent="0.3">
      <c r="B359" s="20"/>
    </row>
    <row r="360" spans="2:2" x14ac:dyDescent="0.3">
      <c r="B360" s="20"/>
    </row>
    <row r="361" spans="2:2" x14ac:dyDescent="0.3">
      <c r="B361" s="20"/>
    </row>
    <row r="362" spans="2:2" x14ac:dyDescent="0.3">
      <c r="B362" s="20"/>
    </row>
    <row r="363" spans="2:2" x14ac:dyDescent="0.3">
      <c r="B363" s="20"/>
    </row>
    <row r="364" spans="2:2" x14ac:dyDescent="0.3">
      <c r="B364" s="20"/>
    </row>
    <row r="365" spans="2:2" x14ac:dyDescent="0.3">
      <c r="B365" s="20"/>
    </row>
    <row r="366" spans="2:2" x14ac:dyDescent="0.3">
      <c r="B366" s="20"/>
    </row>
    <row r="367" spans="2:2" x14ac:dyDescent="0.3">
      <c r="B367" s="20"/>
    </row>
    <row r="368" spans="2:2" x14ac:dyDescent="0.3">
      <c r="B368" s="20"/>
    </row>
    <row r="369" spans="2:2" x14ac:dyDescent="0.3">
      <c r="B369" s="20"/>
    </row>
    <row r="370" spans="2:2" x14ac:dyDescent="0.3">
      <c r="B370" s="20"/>
    </row>
    <row r="371" spans="2:2" x14ac:dyDescent="0.3">
      <c r="B371" s="20"/>
    </row>
    <row r="373" spans="2:2" x14ac:dyDescent="0.3">
      <c r="B373" s="20"/>
    </row>
  </sheetData>
  <mergeCells count="8">
    <mergeCell ref="B49:E49"/>
    <mergeCell ref="B50:E50"/>
    <mergeCell ref="B43:E43"/>
    <mergeCell ref="B44:E44"/>
    <mergeCell ref="B45:E45"/>
    <mergeCell ref="B46:E46"/>
    <mergeCell ref="B47:E47"/>
    <mergeCell ref="B48:E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D194"/>
  <sheetViews>
    <sheetView topLeftCell="A8" workbookViewId="0">
      <selection activeCell="C30" sqref="C30"/>
    </sheetView>
  </sheetViews>
  <sheetFormatPr defaultColWidth="9.109375" defaultRowHeight="13.8" x14ac:dyDescent="0.3"/>
  <cols>
    <col min="1" max="1" width="9.109375" style="1"/>
    <col min="2" max="2" width="10" style="1" customWidth="1"/>
    <col min="3" max="3" width="49" style="1" bestFit="1" customWidth="1"/>
    <col min="4" max="4" width="12.109375" style="1" customWidth="1"/>
    <col min="5" max="7" width="9.109375" style="1"/>
    <col min="8" max="8" width="10.109375" style="1" customWidth="1"/>
    <col min="9" max="9" width="9.109375" style="1"/>
    <col min="10" max="10" width="11" style="1" bestFit="1" customWidth="1"/>
    <col min="11" max="11" width="9.109375" style="1"/>
    <col min="12" max="12" width="15.6640625" style="1" bestFit="1" customWidth="1"/>
    <col min="13" max="18" width="9.109375" style="1"/>
    <col min="19" max="19" width="27.6640625" style="1" bestFit="1" customWidth="1"/>
    <col min="20" max="24" width="9.109375" style="1"/>
    <col min="25" max="25" width="14" style="1" bestFit="1" customWidth="1"/>
    <col min="26" max="16384" width="9.109375" style="1"/>
  </cols>
  <sheetData>
    <row r="3" spans="2:30" x14ac:dyDescent="0.3">
      <c r="B3" s="173" t="s">
        <v>120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S3" s="172" t="s">
        <v>121</v>
      </c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</row>
    <row r="4" spans="2:30" x14ac:dyDescent="0.3">
      <c r="P4" s="1" t="s">
        <v>122</v>
      </c>
      <c r="Q4" s="1" t="s">
        <v>123</v>
      </c>
    </row>
    <row r="5" spans="2:30" x14ac:dyDescent="0.3">
      <c r="F5" s="2" t="s">
        <v>46</v>
      </c>
      <c r="G5" s="2" t="s">
        <v>47</v>
      </c>
      <c r="H5" s="2" t="s">
        <v>48</v>
      </c>
      <c r="I5" s="2" t="s">
        <v>111</v>
      </c>
      <c r="J5" s="2" t="s">
        <v>124</v>
      </c>
      <c r="M5" s="2" t="s">
        <v>46</v>
      </c>
      <c r="N5" s="2" t="s">
        <v>47</v>
      </c>
      <c r="O5" s="36" t="s">
        <v>48</v>
      </c>
      <c r="P5" s="171" t="s">
        <v>111</v>
      </c>
      <c r="Q5" s="171"/>
      <c r="T5" s="2" t="s">
        <v>46</v>
      </c>
      <c r="U5" s="2" t="s">
        <v>47</v>
      </c>
      <c r="V5" s="2" t="s">
        <v>48</v>
      </c>
      <c r="W5" s="2" t="s">
        <v>111</v>
      </c>
      <c r="Z5" s="2" t="s">
        <v>46</v>
      </c>
      <c r="AA5" s="2" t="s">
        <v>47</v>
      </c>
      <c r="AB5" s="36" t="s">
        <v>48</v>
      </c>
      <c r="AC5" s="171" t="s">
        <v>111</v>
      </c>
      <c r="AD5" s="171"/>
    </row>
    <row r="6" spans="2:30" x14ac:dyDescent="0.3">
      <c r="B6" s="14" t="s">
        <v>125</v>
      </c>
      <c r="C6" s="14" t="s">
        <v>126</v>
      </c>
      <c r="D6" s="14" t="s">
        <v>127</v>
      </c>
      <c r="F6" s="7">
        <v>10.86</v>
      </c>
      <c r="G6" s="7">
        <v>10.86</v>
      </c>
      <c r="H6" s="7">
        <v>10.86</v>
      </c>
      <c r="I6" s="7">
        <v>10.86</v>
      </c>
      <c r="J6" s="7">
        <v>10.86</v>
      </c>
      <c r="L6" s="3" t="s">
        <v>128</v>
      </c>
      <c r="M6" s="3"/>
      <c r="N6" s="3"/>
      <c r="O6" s="3"/>
      <c r="P6" s="31"/>
      <c r="Q6" s="31"/>
      <c r="S6" s="3" t="s">
        <v>112</v>
      </c>
      <c r="T6" s="8">
        <v>0.497</v>
      </c>
      <c r="U6" s="8"/>
      <c r="V6" s="8"/>
      <c r="W6" s="8"/>
      <c r="Y6" s="3" t="s">
        <v>129</v>
      </c>
      <c r="Z6" s="3"/>
      <c r="AA6" s="3"/>
      <c r="AB6" s="3"/>
      <c r="AC6" s="31" t="s">
        <v>130</v>
      </c>
      <c r="AD6" s="31" t="s">
        <v>123</v>
      </c>
    </row>
    <row r="7" spans="2:30" x14ac:dyDescent="0.3">
      <c r="B7" s="14" t="s">
        <v>131</v>
      </c>
      <c r="C7" s="14" t="s">
        <v>132</v>
      </c>
      <c r="D7" s="14" t="s">
        <v>133</v>
      </c>
      <c r="F7" s="3">
        <v>12</v>
      </c>
      <c r="G7" s="3">
        <v>12</v>
      </c>
      <c r="H7" s="3">
        <v>12</v>
      </c>
      <c r="I7" s="3">
        <v>12</v>
      </c>
      <c r="J7" s="3">
        <v>12</v>
      </c>
      <c r="L7" s="35">
        <v>0</v>
      </c>
      <c r="M7" s="8">
        <f>$T$6</f>
        <v>0.497</v>
      </c>
      <c r="N7" s="8">
        <f t="shared" ref="N7:N12" si="0">$U$10</f>
        <v>0.41299999999999998</v>
      </c>
      <c r="O7" s="8">
        <f>$V$8</f>
        <v>0.41299999999999998</v>
      </c>
      <c r="P7" s="8">
        <f>$W$13</f>
        <v>0.42099999999999999</v>
      </c>
      <c r="Q7" s="8">
        <f>$W$13</f>
        <v>0.42099999999999999</v>
      </c>
      <c r="S7" s="3" t="s">
        <v>113</v>
      </c>
      <c r="T7" s="8"/>
      <c r="U7" s="8"/>
      <c r="V7" s="8">
        <v>0.622</v>
      </c>
      <c r="W7" s="8"/>
      <c r="Y7" s="35">
        <v>0</v>
      </c>
      <c r="Z7" s="8">
        <f>$T$6</f>
        <v>0.497</v>
      </c>
      <c r="AA7" s="8">
        <f t="shared" ref="AA7:AA12" si="1">$U$10</f>
        <v>0.41299999999999998</v>
      </c>
      <c r="AB7" s="8">
        <f>$V$8</f>
        <v>0.41299999999999998</v>
      </c>
      <c r="AC7" s="8">
        <f>$W$13</f>
        <v>0.42099999999999999</v>
      </c>
      <c r="AD7" s="8">
        <f>$W$13</f>
        <v>0.42099999999999999</v>
      </c>
    </row>
    <row r="8" spans="2:30" x14ac:dyDescent="0.3">
      <c r="B8" s="13" t="s">
        <v>134</v>
      </c>
      <c r="C8" s="13" t="s">
        <v>135</v>
      </c>
      <c r="D8" s="13" t="s">
        <v>37</v>
      </c>
      <c r="F8" s="8">
        <v>0.24640000000000001</v>
      </c>
      <c r="G8" s="3"/>
      <c r="H8" s="3"/>
      <c r="I8" s="3"/>
      <c r="J8" s="3"/>
      <c r="L8" s="35">
        <v>4.1666666666666664E-2</v>
      </c>
      <c r="M8" s="8">
        <f t="shared" ref="M8:M30" si="2">$T$6</f>
        <v>0.497</v>
      </c>
      <c r="N8" s="8">
        <f t="shared" si="0"/>
        <v>0.41299999999999998</v>
      </c>
      <c r="O8" s="8">
        <f t="shared" ref="O8:O12" si="3">$V$8</f>
        <v>0.41299999999999998</v>
      </c>
      <c r="P8" s="8">
        <f t="shared" ref="P8:Q13" si="4">$W$13</f>
        <v>0.42099999999999999</v>
      </c>
      <c r="Q8" s="8">
        <f t="shared" si="4"/>
        <v>0.42099999999999999</v>
      </c>
      <c r="S8" s="3" t="s">
        <v>114</v>
      </c>
      <c r="T8" s="8"/>
      <c r="U8" s="8"/>
      <c r="V8" s="8">
        <v>0.41299999999999998</v>
      </c>
      <c r="W8" s="8"/>
      <c r="Y8" s="35">
        <v>4.1666666666666664E-2</v>
      </c>
      <c r="Z8" s="8">
        <f t="shared" ref="Z8:Z30" si="5">$T$6</f>
        <v>0.497</v>
      </c>
      <c r="AA8" s="8">
        <f t="shared" si="1"/>
        <v>0.41299999999999998</v>
      </c>
      <c r="AB8" s="8">
        <f t="shared" ref="AB8:AB12" si="6">$V$8</f>
        <v>0.41299999999999998</v>
      </c>
      <c r="AC8" s="8">
        <f t="shared" ref="AC8:AD13" si="7">$W$13</f>
        <v>0.42099999999999999</v>
      </c>
      <c r="AD8" s="8">
        <f t="shared" si="7"/>
        <v>0.42099999999999999</v>
      </c>
    </row>
    <row r="9" spans="2:30" x14ac:dyDescent="0.3">
      <c r="B9" s="13" t="s">
        <v>136</v>
      </c>
      <c r="C9" s="13" t="s">
        <v>137</v>
      </c>
      <c r="D9" s="13" t="s">
        <v>138</v>
      </c>
      <c r="F9" s="3" t="s">
        <v>139</v>
      </c>
      <c r="G9" s="3"/>
      <c r="H9" s="3"/>
      <c r="I9" s="3"/>
      <c r="J9" s="3"/>
      <c r="L9" s="35">
        <v>8.3333333333333329E-2</v>
      </c>
      <c r="M9" s="8">
        <f t="shared" si="2"/>
        <v>0.497</v>
      </c>
      <c r="N9" s="8">
        <f t="shared" si="0"/>
        <v>0.41299999999999998</v>
      </c>
      <c r="O9" s="8">
        <f t="shared" si="3"/>
        <v>0.41299999999999998</v>
      </c>
      <c r="P9" s="8">
        <f t="shared" si="4"/>
        <v>0.42099999999999999</v>
      </c>
      <c r="Q9" s="8">
        <f t="shared" si="4"/>
        <v>0.42099999999999999</v>
      </c>
      <c r="S9" s="3" t="s">
        <v>115</v>
      </c>
      <c r="T9" s="8"/>
      <c r="U9" s="8">
        <v>0.54300000000000004</v>
      </c>
      <c r="V9" s="8"/>
      <c r="W9" s="8"/>
      <c r="Y9" s="35">
        <v>8.3333333333333329E-2</v>
      </c>
      <c r="Z9" s="8">
        <f t="shared" si="5"/>
        <v>0.497</v>
      </c>
      <c r="AA9" s="8">
        <f t="shared" si="1"/>
        <v>0.41299999999999998</v>
      </c>
      <c r="AB9" s="8">
        <f t="shared" si="6"/>
        <v>0.41299999999999998</v>
      </c>
      <c r="AC9" s="8">
        <f t="shared" si="7"/>
        <v>0.42099999999999999</v>
      </c>
      <c r="AD9" s="8">
        <f t="shared" si="7"/>
        <v>0.42099999999999999</v>
      </c>
    </row>
    <row r="10" spans="2:30" x14ac:dyDescent="0.3">
      <c r="B10" s="11" t="s">
        <v>134</v>
      </c>
      <c r="C10" s="11" t="s">
        <v>140</v>
      </c>
      <c r="D10" s="11" t="s">
        <v>37</v>
      </c>
      <c r="F10" s="3"/>
      <c r="G10" s="8">
        <v>0.28410000000000002</v>
      </c>
      <c r="H10" s="8"/>
      <c r="I10" s="3"/>
      <c r="J10" s="3"/>
      <c r="L10" s="35">
        <v>0.125</v>
      </c>
      <c r="M10" s="8">
        <f t="shared" si="2"/>
        <v>0.497</v>
      </c>
      <c r="N10" s="8">
        <f t="shared" si="0"/>
        <v>0.41299999999999998</v>
      </c>
      <c r="O10" s="8">
        <f t="shared" si="3"/>
        <v>0.41299999999999998</v>
      </c>
      <c r="P10" s="8">
        <f t="shared" si="4"/>
        <v>0.42099999999999999</v>
      </c>
      <c r="Q10" s="8">
        <f t="shared" si="4"/>
        <v>0.42099999999999999</v>
      </c>
      <c r="S10" s="3" t="s">
        <v>116</v>
      </c>
      <c r="T10" s="8"/>
      <c r="U10" s="8">
        <v>0.41299999999999998</v>
      </c>
      <c r="V10" s="8"/>
      <c r="W10" s="8"/>
      <c r="Y10" s="35">
        <v>0.125</v>
      </c>
      <c r="Z10" s="8">
        <f t="shared" si="5"/>
        <v>0.497</v>
      </c>
      <c r="AA10" s="8">
        <f t="shared" si="1"/>
        <v>0.41299999999999998</v>
      </c>
      <c r="AB10" s="8">
        <f t="shared" si="6"/>
        <v>0.41299999999999998</v>
      </c>
      <c r="AC10" s="8">
        <f t="shared" si="7"/>
        <v>0.42099999999999999</v>
      </c>
      <c r="AD10" s="8">
        <f t="shared" si="7"/>
        <v>0.42099999999999999</v>
      </c>
    </row>
    <row r="11" spans="2:30" x14ac:dyDescent="0.3">
      <c r="B11" s="11" t="s">
        <v>141</v>
      </c>
      <c r="C11" s="11" t="s">
        <v>137</v>
      </c>
      <c r="D11" s="11" t="s">
        <v>138</v>
      </c>
      <c r="F11" s="3"/>
      <c r="G11" s="3" t="s">
        <v>139</v>
      </c>
      <c r="H11" s="3"/>
      <c r="I11" s="3"/>
      <c r="J11" s="3"/>
      <c r="L11" s="35">
        <v>0.16666666666666699</v>
      </c>
      <c r="M11" s="8">
        <f t="shared" si="2"/>
        <v>0.497</v>
      </c>
      <c r="N11" s="8">
        <f t="shared" si="0"/>
        <v>0.41299999999999998</v>
      </c>
      <c r="O11" s="8">
        <f t="shared" si="3"/>
        <v>0.41299999999999998</v>
      </c>
      <c r="P11" s="8">
        <f t="shared" si="4"/>
        <v>0.42099999999999999</v>
      </c>
      <c r="Q11" s="8">
        <f t="shared" si="4"/>
        <v>0.42099999999999999</v>
      </c>
      <c r="S11" s="3" t="s">
        <v>117</v>
      </c>
      <c r="T11" s="8"/>
      <c r="U11" s="8"/>
      <c r="V11" s="8"/>
      <c r="W11" s="8">
        <v>0.46679999999999999</v>
      </c>
      <c r="Y11" s="35">
        <v>0.16666666666666699</v>
      </c>
      <c r="Z11" s="8">
        <f t="shared" si="5"/>
        <v>0.497</v>
      </c>
      <c r="AA11" s="8">
        <f t="shared" si="1"/>
        <v>0.41299999999999998</v>
      </c>
      <c r="AB11" s="8">
        <f t="shared" si="6"/>
        <v>0.41299999999999998</v>
      </c>
      <c r="AC11" s="8">
        <f t="shared" si="7"/>
        <v>0.42099999999999999</v>
      </c>
      <c r="AD11" s="8">
        <f t="shared" si="7"/>
        <v>0.42099999999999999</v>
      </c>
    </row>
    <row r="12" spans="2:30" x14ac:dyDescent="0.3">
      <c r="B12" s="11" t="s">
        <v>134</v>
      </c>
      <c r="C12" s="11" t="s">
        <v>142</v>
      </c>
      <c r="D12" s="11" t="s">
        <v>37</v>
      </c>
      <c r="F12" s="3"/>
      <c r="G12" s="8">
        <v>5.5800000000000002E-2</v>
      </c>
      <c r="H12" s="8"/>
      <c r="I12" s="3"/>
      <c r="J12" s="3"/>
      <c r="L12" s="35">
        <v>0.20833333333333301</v>
      </c>
      <c r="M12" s="8">
        <f t="shared" si="2"/>
        <v>0.497</v>
      </c>
      <c r="N12" s="8">
        <f t="shared" si="0"/>
        <v>0.41299999999999998</v>
      </c>
      <c r="O12" s="8">
        <f t="shared" si="3"/>
        <v>0.41299999999999998</v>
      </c>
      <c r="P12" s="8">
        <f t="shared" si="4"/>
        <v>0.42099999999999999</v>
      </c>
      <c r="Q12" s="8">
        <f t="shared" si="4"/>
        <v>0.42099999999999999</v>
      </c>
      <c r="S12" s="3" t="s">
        <v>118</v>
      </c>
      <c r="T12" s="8"/>
      <c r="U12" s="8"/>
      <c r="V12" s="8"/>
      <c r="W12" s="8">
        <v>0.77800000000000002</v>
      </c>
      <c r="Y12" s="35">
        <v>0.20833333333333301</v>
      </c>
      <c r="Z12" s="8">
        <f t="shared" si="5"/>
        <v>0.497</v>
      </c>
      <c r="AA12" s="8">
        <f t="shared" si="1"/>
        <v>0.41299999999999998</v>
      </c>
      <c r="AB12" s="8">
        <f t="shared" si="6"/>
        <v>0.41299999999999998</v>
      </c>
      <c r="AC12" s="8">
        <f t="shared" si="7"/>
        <v>0.42099999999999999</v>
      </c>
      <c r="AD12" s="8">
        <f t="shared" si="7"/>
        <v>0.42099999999999999</v>
      </c>
    </row>
    <row r="13" spans="2:30" x14ac:dyDescent="0.3">
      <c r="B13" s="11" t="s">
        <v>141</v>
      </c>
      <c r="C13" s="11" t="s">
        <v>137</v>
      </c>
      <c r="D13" s="11" t="s">
        <v>138</v>
      </c>
      <c r="F13" s="3"/>
      <c r="G13" s="3" t="s">
        <v>139</v>
      </c>
      <c r="H13" s="3"/>
      <c r="I13" s="3"/>
      <c r="J13" s="3"/>
      <c r="L13" s="35">
        <v>0.25</v>
      </c>
      <c r="M13" s="8">
        <f t="shared" si="2"/>
        <v>0.497</v>
      </c>
      <c r="N13" s="8">
        <f>$U$9</f>
        <v>0.54300000000000004</v>
      </c>
      <c r="O13" s="8">
        <f>$V$7</f>
        <v>0.622</v>
      </c>
      <c r="P13" s="8">
        <f t="shared" si="4"/>
        <v>0.42099999999999999</v>
      </c>
      <c r="Q13" s="8">
        <f t="shared" si="4"/>
        <v>0.42099999999999999</v>
      </c>
      <c r="S13" s="3" t="s">
        <v>119</v>
      </c>
      <c r="T13" s="8"/>
      <c r="U13" s="8"/>
      <c r="V13" s="8"/>
      <c r="W13" s="8">
        <v>0.42099999999999999</v>
      </c>
      <c r="Y13" s="35">
        <v>0.25</v>
      </c>
      <c r="Z13" s="8">
        <f t="shared" si="5"/>
        <v>0.497</v>
      </c>
      <c r="AA13" s="8">
        <f>$U$9</f>
        <v>0.54300000000000004</v>
      </c>
      <c r="AB13" s="8">
        <f>$V$7</f>
        <v>0.622</v>
      </c>
      <c r="AC13" s="8">
        <f t="shared" si="7"/>
        <v>0.42099999999999999</v>
      </c>
      <c r="AD13" s="8">
        <f t="shared" si="7"/>
        <v>0.42099999999999999</v>
      </c>
    </row>
    <row r="14" spans="2:30" x14ac:dyDescent="0.3">
      <c r="B14" s="16" t="s">
        <v>134</v>
      </c>
      <c r="C14" s="16" t="s">
        <v>143</v>
      </c>
      <c r="D14" s="16" t="s">
        <v>37</v>
      </c>
      <c r="F14" s="3"/>
      <c r="G14" s="3"/>
      <c r="H14" s="8">
        <v>0.32979999999999998</v>
      </c>
      <c r="I14" s="3"/>
      <c r="J14" s="3"/>
      <c r="L14" s="35">
        <v>0.29166666666666702</v>
      </c>
      <c r="M14" s="8">
        <f t="shared" si="2"/>
        <v>0.497</v>
      </c>
      <c r="N14" s="8">
        <f t="shared" ref="N14:N28" si="8">$U$9</f>
        <v>0.54300000000000004</v>
      </c>
      <c r="O14" s="8">
        <f t="shared" ref="O14:O19" si="9">$V$7</f>
        <v>0.622</v>
      </c>
      <c r="P14" s="8">
        <f>$W$11</f>
        <v>0.46679999999999999</v>
      </c>
      <c r="Q14" s="8">
        <f>$W$11</f>
        <v>0.46679999999999999</v>
      </c>
      <c r="Y14" s="35">
        <v>0.29166666666666702</v>
      </c>
      <c r="Z14" s="8">
        <f t="shared" si="5"/>
        <v>0.497</v>
      </c>
      <c r="AA14" s="8">
        <f t="shared" ref="AA14:AA28" si="10">$U$9</f>
        <v>0.54300000000000004</v>
      </c>
      <c r="AB14" s="8">
        <f t="shared" ref="AB14:AB19" si="11">$V$7</f>
        <v>0.622</v>
      </c>
      <c r="AC14" s="8">
        <f>$W$11</f>
        <v>0.46679999999999999</v>
      </c>
      <c r="AD14" s="8">
        <f>$W$11</f>
        <v>0.46679999999999999</v>
      </c>
    </row>
    <row r="15" spans="2:30" x14ac:dyDescent="0.3">
      <c r="B15" s="16" t="s">
        <v>141</v>
      </c>
      <c r="C15" s="16" t="s">
        <v>137</v>
      </c>
      <c r="D15" s="16" t="s">
        <v>138</v>
      </c>
      <c r="F15" s="3"/>
      <c r="G15" s="3"/>
      <c r="H15" s="3" t="s">
        <v>139</v>
      </c>
      <c r="I15" s="3"/>
      <c r="J15" s="3"/>
      <c r="L15" s="35">
        <v>0.33333333333333298</v>
      </c>
      <c r="M15" s="8">
        <f t="shared" si="2"/>
        <v>0.497</v>
      </c>
      <c r="N15" s="8">
        <f t="shared" si="8"/>
        <v>0.54300000000000004</v>
      </c>
      <c r="O15" s="8">
        <f t="shared" si="9"/>
        <v>0.622</v>
      </c>
      <c r="P15" s="8">
        <f t="shared" ref="P15:Q19" si="12">$W$11</f>
        <v>0.46679999999999999</v>
      </c>
      <c r="Q15" s="8">
        <f t="shared" si="12"/>
        <v>0.46679999999999999</v>
      </c>
      <c r="Y15" s="35">
        <v>0.33333333333333298</v>
      </c>
      <c r="Z15" s="8">
        <f t="shared" si="5"/>
        <v>0.497</v>
      </c>
      <c r="AA15" s="8">
        <f t="shared" si="10"/>
        <v>0.54300000000000004</v>
      </c>
      <c r="AB15" s="8">
        <f t="shared" si="11"/>
        <v>0.622</v>
      </c>
      <c r="AC15" s="8">
        <f t="shared" ref="AC15:AD19" si="13">$W$11</f>
        <v>0.46679999999999999</v>
      </c>
      <c r="AD15" s="8">
        <f t="shared" si="13"/>
        <v>0.46679999999999999</v>
      </c>
    </row>
    <row r="16" spans="2:30" x14ac:dyDescent="0.3">
      <c r="B16" s="16" t="s">
        <v>134</v>
      </c>
      <c r="C16" s="16" t="s">
        <v>144</v>
      </c>
      <c r="D16" s="16" t="s">
        <v>37</v>
      </c>
      <c r="F16" s="3"/>
      <c r="G16" s="3"/>
      <c r="H16" s="8">
        <v>5.1200000000000002E-2</v>
      </c>
      <c r="I16" s="3"/>
      <c r="J16" s="3"/>
      <c r="L16" s="35">
        <v>0.375</v>
      </c>
      <c r="M16" s="8">
        <f t="shared" si="2"/>
        <v>0.497</v>
      </c>
      <c r="N16" s="8">
        <f t="shared" si="8"/>
        <v>0.54300000000000004</v>
      </c>
      <c r="O16" s="8">
        <f t="shared" si="9"/>
        <v>0.622</v>
      </c>
      <c r="P16" s="8">
        <f t="shared" si="12"/>
        <v>0.46679999999999999</v>
      </c>
      <c r="Q16" s="8">
        <f t="shared" si="12"/>
        <v>0.46679999999999999</v>
      </c>
      <c r="Y16" s="35">
        <v>0.375</v>
      </c>
      <c r="Z16" s="8">
        <f t="shared" si="5"/>
        <v>0.497</v>
      </c>
      <c r="AA16" s="8">
        <f t="shared" si="10"/>
        <v>0.54300000000000004</v>
      </c>
      <c r="AB16" s="8">
        <f t="shared" si="11"/>
        <v>0.622</v>
      </c>
      <c r="AC16" s="8">
        <f t="shared" si="13"/>
        <v>0.46679999999999999</v>
      </c>
      <c r="AD16" s="8">
        <f t="shared" si="13"/>
        <v>0.46679999999999999</v>
      </c>
    </row>
    <row r="17" spans="2:30" x14ac:dyDescent="0.3">
      <c r="B17" s="16" t="s">
        <v>141</v>
      </c>
      <c r="C17" s="16" t="s">
        <v>137</v>
      </c>
      <c r="D17" s="16" t="s">
        <v>138</v>
      </c>
      <c r="F17" s="3"/>
      <c r="G17" s="3"/>
      <c r="H17" s="3" t="s">
        <v>139</v>
      </c>
      <c r="I17" s="3"/>
      <c r="J17" s="3"/>
      <c r="L17" s="35">
        <v>0.41666666666666702</v>
      </c>
      <c r="M17" s="8">
        <f t="shared" si="2"/>
        <v>0.497</v>
      </c>
      <c r="N17" s="8">
        <f t="shared" si="8"/>
        <v>0.54300000000000004</v>
      </c>
      <c r="O17" s="8">
        <f t="shared" si="9"/>
        <v>0.622</v>
      </c>
      <c r="P17" s="8">
        <f t="shared" si="12"/>
        <v>0.46679999999999999</v>
      </c>
      <c r="Q17" s="8">
        <f t="shared" si="12"/>
        <v>0.46679999999999999</v>
      </c>
      <c r="Y17" s="35">
        <v>0.41666666666666702</v>
      </c>
      <c r="Z17" s="8">
        <f t="shared" si="5"/>
        <v>0.497</v>
      </c>
      <c r="AA17" s="8">
        <f t="shared" si="10"/>
        <v>0.54300000000000004</v>
      </c>
      <c r="AB17" s="8">
        <f t="shared" si="11"/>
        <v>0.622</v>
      </c>
      <c r="AC17" s="8">
        <f t="shared" si="13"/>
        <v>0.46679999999999999</v>
      </c>
      <c r="AD17" s="8">
        <f t="shared" si="13"/>
        <v>0.46679999999999999</v>
      </c>
    </row>
    <row r="18" spans="2:30" x14ac:dyDescent="0.3">
      <c r="B18" s="12" t="s">
        <v>134</v>
      </c>
      <c r="C18" s="12" t="s">
        <v>145</v>
      </c>
      <c r="D18" s="12" t="s">
        <v>37</v>
      </c>
      <c r="F18" s="3"/>
      <c r="G18" s="3"/>
      <c r="H18" s="3"/>
      <c r="I18" s="8">
        <v>0.2203</v>
      </c>
      <c r="J18" s="8"/>
      <c r="L18" s="35">
        <v>0.45833333333333298</v>
      </c>
      <c r="M18" s="8">
        <f t="shared" si="2"/>
        <v>0.497</v>
      </c>
      <c r="N18" s="8">
        <f t="shared" si="8"/>
        <v>0.54300000000000004</v>
      </c>
      <c r="O18" s="8">
        <f t="shared" si="9"/>
        <v>0.622</v>
      </c>
      <c r="P18" s="8">
        <f t="shared" si="12"/>
        <v>0.46679999999999999</v>
      </c>
      <c r="Q18" s="8">
        <f t="shared" si="12"/>
        <v>0.46679999999999999</v>
      </c>
      <c r="Y18" s="35">
        <v>0.45833333333333298</v>
      </c>
      <c r="Z18" s="8">
        <f t="shared" si="5"/>
        <v>0.497</v>
      </c>
      <c r="AA18" s="8">
        <f t="shared" si="10"/>
        <v>0.54300000000000004</v>
      </c>
      <c r="AB18" s="8">
        <f t="shared" si="11"/>
        <v>0.622</v>
      </c>
      <c r="AC18" s="8">
        <f t="shared" si="13"/>
        <v>0.46679999999999999</v>
      </c>
      <c r="AD18" s="8">
        <f t="shared" si="13"/>
        <v>0.46679999999999999</v>
      </c>
    </row>
    <row r="19" spans="2:30" x14ac:dyDescent="0.3">
      <c r="B19" s="12" t="s">
        <v>141</v>
      </c>
      <c r="C19" s="12" t="s">
        <v>137</v>
      </c>
      <c r="D19" s="12" t="s">
        <v>138</v>
      </c>
      <c r="F19" s="3"/>
      <c r="G19" s="3"/>
      <c r="H19" s="3"/>
      <c r="I19" s="3" t="s">
        <v>139</v>
      </c>
      <c r="J19" s="3"/>
      <c r="L19" s="35">
        <v>0.5</v>
      </c>
      <c r="M19" s="8">
        <f t="shared" si="2"/>
        <v>0.497</v>
      </c>
      <c r="N19" s="8">
        <f t="shared" si="8"/>
        <v>0.54300000000000004</v>
      </c>
      <c r="O19" s="8">
        <f t="shared" si="9"/>
        <v>0.622</v>
      </c>
      <c r="P19" s="8">
        <f t="shared" si="12"/>
        <v>0.46679999999999999</v>
      </c>
      <c r="Q19" s="8">
        <f t="shared" si="12"/>
        <v>0.46679999999999999</v>
      </c>
      <c r="Y19" s="35">
        <v>0.5</v>
      </c>
      <c r="Z19" s="8">
        <f t="shared" si="5"/>
        <v>0.497</v>
      </c>
      <c r="AA19" s="8">
        <f t="shared" si="10"/>
        <v>0.54300000000000004</v>
      </c>
      <c r="AB19" s="8">
        <f t="shared" si="11"/>
        <v>0.622</v>
      </c>
      <c r="AC19" s="8">
        <f t="shared" si="13"/>
        <v>0.46679999999999999</v>
      </c>
      <c r="AD19" s="8">
        <f t="shared" si="13"/>
        <v>0.46679999999999999</v>
      </c>
    </row>
    <row r="20" spans="2:30" x14ac:dyDescent="0.3">
      <c r="B20" s="12" t="s">
        <v>134</v>
      </c>
      <c r="C20" s="12" t="s">
        <v>146</v>
      </c>
      <c r="D20" s="12" t="s">
        <v>37</v>
      </c>
      <c r="F20" s="3"/>
      <c r="G20" s="3"/>
      <c r="H20" s="3"/>
      <c r="I20" s="8">
        <v>0.38979999999999998</v>
      </c>
      <c r="J20" s="8"/>
      <c r="L20" s="35">
        <v>0.54166666666666696</v>
      </c>
      <c r="M20" s="8">
        <f t="shared" si="2"/>
        <v>0.497</v>
      </c>
      <c r="N20" s="8">
        <f>$U$10</f>
        <v>0.41299999999999998</v>
      </c>
      <c r="O20" s="8">
        <f t="shared" ref="O20:O21" si="14">$V$8</f>
        <v>0.41299999999999998</v>
      </c>
      <c r="P20" s="8">
        <f t="shared" ref="P20:Q22" si="15">$W$13</f>
        <v>0.42099999999999999</v>
      </c>
      <c r="Q20" s="8">
        <f t="shared" si="15"/>
        <v>0.42099999999999999</v>
      </c>
      <c r="Y20" s="35">
        <v>0.54166666666666696</v>
      </c>
      <c r="Z20" s="8">
        <f t="shared" si="5"/>
        <v>0.497</v>
      </c>
      <c r="AA20" s="8">
        <f>$U$10</f>
        <v>0.41299999999999998</v>
      </c>
      <c r="AB20" s="8">
        <f t="shared" ref="AB20:AB21" si="16">$V$8</f>
        <v>0.41299999999999998</v>
      </c>
      <c r="AC20" s="8">
        <f t="shared" ref="AC20:AD22" si="17">$W$13</f>
        <v>0.42099999999999999</v>
      </c>
      <c r="AD20" s="8">
        <f t="shared" si="17"/>
        <v>0.42099999999999999</v>
      </c>
    </row>
    <row r="21" spans="2:30" x14ac:dyDescent="0.3">
      <c r="B21" s="12" t="s">
        <v>141</v>
      </c>
      <c r="C21" s="12" t="s">
        <v>137</v>
      </c>
      <c r="D21" s="12" t="s">
        <v>138</v>
      </c>
      <c r="F21" s="3"/>
      <c r="G21" s="3"/>
      <c r="H21" s="3"/>
      <c r="I21" s="3" t="s">
        <v>139</v>
      </c>
      <c r="J21" s="3"/>
      <c r="L21" s="35">
        <v>0.58333333333333304</v>
      </c>
      <c r="M21" s="8">
        <f t="shared" si="2"/>
        <v>0.497</v>
      </c>
      <c r="N21" s="8">
        <f>$U$10</f>
        <v>0.41299999999999998</v>
      </c>
      <c r="O21" s="8">
        <f t="shared" si="14"/>
        <v>0.41299999999999998</v>
      </c>
      <c r="P21" s="8">
        <f t="shared" si="15"/>
        <v>0.42099999999999999</v>
      </c>
      <c r="Q21" s="8">
        <f t="shared" si="15"/>
        <v>0.42099999999999999</v>
      </c>
      <c r="Y21" s="35">
        <v>0.58333333333333304</v>
      </c>
      <c r="Z21" s="8">
        <f t="shared" si="5"/>
        <v>0.497</v>
      </c>
      <c r="AA21" s="8">
        <f>$U$10</f>
        <v>0.41299999999999998</v>
      </c>
      <c r="AB21" s="8">
        <f t="shared" si="16"/>
        <v>0.41299999999999998</v>
      </c>
      <c r="AC21" s="8">
        <f t="shared" si="17"/>
        <v>0.42099999999999999</v>
      </c>
      <c r="AD21" s="8">
        <f t="shared" si="17"/>
        <v>0.42099999999999999</v>
      </c>
    </row>
    <row r="22" spans="2:30" x14ac:dyDescent="0.3">
      <c r="B22" s="12" t="s">
        <v>134</v>
      </c>
      <c r="C22" s="12" t="s">
        <v>147</v>
      </c>
      <c r="D22" s="12" t="s">
        <v>37</v>
      </c>
      <c r="F22" s="3"/>
      <c r="G22" s="3"/>
      <c r="H22" s="3"/>
      <c r="I22" s="8">
        <v>3.9199999999999999E-2</v>
      </c>
      <c r="J22" s="8"/>
      <c r="L22" s="35">
        <v>0.625</v>
      </c>
      <c r="M22" s="8">
        <f t="shared" si="2"/>
        <v>0.497</v>
      </c>
      <c r="N22" s="8">
        <f t="shared" si="8"/>
        <v>0.54300000000000004</v>
      </c>
      <c r="O22" s="8">
        <f t="shared" ref="O22:O28" si="18">$V$7</f>
        <v>0.622</v>
      </c>
      <c r="P22" s="8">
        <f t="shared" si="15"/>
        <v>0.42099999999999999</v>
      </c>
      <c r="Q22" s="8">
        <f t="shared" si="15"/>
        <v>0.42099999999999999</v>
      </c>
      <c r="Y22" s="35">
        <v>0.625</v>
      </c>
      <c r="Z22" s="8">
        <f t="shared" si="5"/>
        <v>0.497</v>
      </c>
      <c r="AA22" s="8">
        <f t="shared" si="10"/>
        <v>0.54300000000000004</v>
      </c>
      <c r="AB22" s="8">
        <f t="shared" ref="AB22:AB28" si="19">$V$7</f>
        <v>0.622</v>
      </c>
      <c r="AC22" s="8">
        <f t="shared" si="17"/>
        <v>0.42099999999999999</v>
      </c>
      <c r="AD22" s="8">
        <f t="shared" si="17"/>
        <v>0.42099999999999999</v>
      </c>
    </row>
    <row r="23" spans="2:30" x14ac:dyDescent="0.3">
      <c r="B23" s="12" t="s">
        <v>141</v>
      </c>
      <c r="C23" s="12" t="s">
        <v>137</v>
      </c>
      <c r="D23" s="12" t="s">
        <v>138</v>
      </c>
      <c r="F23" s="3"/>
      <c r="G23" s="3"/>
      <c r="H23" s="3"/>
      <c r="I23" s="3" t="s">
        <v>139</v>
      </c>
      <c r="J23" s="3"/>
      <c r="L23" s="35">
        <v>0.66666666666666696</v>
      </c>
      <c r="M23" s="8">
        <f t="shared" si="2"/>
        <v>0.497</v>
      </c>
      <c r="N23" s="8">
        <f t="shared" si="8"/>
        <v>0.54300000000000004</v>
      </c>
      <c r="O23" s="8">
        <f t="shared" si="18"/>
        <v>0.622</v>
      </c>
      <c r="P23" s="8">
        <f>$W$13</f>
        <v>0.42099999999999999</v>
      </c>
      <c r="Q23" s="8">
        <f>$W$12</f>
        <v>0.77800000000000002</v>
      </c>
      <c r="Y23" s="35">
        <v>0.66666666666666696</v>
      </c>
      <c r="Z23" s="8">
        <f t="shared" si="5"/>
        <v>0.497</v>
      </c>
      <c r="AA23" s="8">
        <f t="shared" si="10"/>
        <v>0.54300000000000004</v>
      </c>
      <c r="AB23" s="8">
        <f t="shared" si="19"/>
        <v>0.622</v>
      </c>
      <c r="AC23" s="8">
        <f>$W$13</f>
        <v>0.42099999999999999</v>
      </c>
      <c r="AD23" s="8">
        <f>$W$12</f>
        <v>0.77800000000000002</v>
      </c>
    </row>
    <row r="24" spans="2:30" x14ac:dyDescent="0.3">
      <c r="B24" s="11" t="s">
        <v>134</v>
      </c>
      <c r="C24" s="11" t="s">
        <v>148</v>
      </c>
      <c r="D24" s="11" t="s">
        <v>37</v>
      </c>
      <c r="F24" s="3"/>
      <c r="G24" s="3"/>
      <c r="H24" s="3"/>
      <c r="I24" s="3"/>
      <c r="J24" s="8">
        <v>2.24E-2</v>
      </c>
      <c r="L24" s="35">
        <v>0.70833333333333304</v>
      </c>
      <c r="M24" s="8">
        <f t="shared" si="2"/>
        <v>0.497</v>
      </c>
      <c r="N24" s="8">
        <f t="shared" si="8"/>
        <v>0.54300000000000004</v>
      </c>
      <c r="O24" s="8">
        <f t="shared" si="18"/>
        <v>0.622</v>
      </c>
      <c r="P24" s="8">
        <f>$W$13</f>
        <v>0.42099999999999999</v>
      </c>
      <c r="Q24" s="8">
        <f>$W$12</f>
        <v>0.77800000000000002</v>
      </c>
      <c r="Y24" s="35">
        <v>0.70833333333333304</v>
      </c>
      <c r="Z24" s="8">
        <f t="shared" si="5"/>
        <v>0.497</v>
      </c>
      <c r="AA24" s="8">
        <f t="shared" si="10"/>
        <v>0.54300000000000004</v>
      </c>
      <c r="AB24" s="8">
        <f t="shared" si="19"/>
        <v>0.622</v>
      </c>
      <c r="AC24" s="8">
        <f>$W$13</f>
        <v>0.42099999999999999</v>
      </c>
      <c r="AD24" s="8">
        <f>$W$12</f>
        <v>0.77800000000000002</v>
      </c>
    </row>
    <row r="25" spans="2:30" x14ac:dyDescent="0.3">
      <c r="B25" s="11" t="s">
        <v>141</v>
      </c>
      <c r="C25" s="11" t="s">
        <v>137</v>
      </c>
      <c r="D25" s="11" t="s">
        <v>138</v>
      </c>
      <c r="F25" s="3"/>
      <c r="G25" s="3"/>
      <c r="H25" s="3"/>
      <c r="I25" s="3"/>
      <c r="J25" s="3" t="s">
        <v>139</v>
      </c>
      <c r="L25" s="35">
        <v>0.75</v>
      </c>
      <c r="M25" s="8">
        <f t="shared" si="2"/>
        <v>0.497</v>
      </c>
      <c r="N25" s="8">
        <f t="shared" si="8"/>
        <v>0.54300000000000004</v>
      </c>
      <c r="O25" s="8">
        <f t="shared" si="18"/>
        <v>0.622</v>
      </c>
      <c r="P25" s="8">
        <f>$W$13</f>
        <v>0.42099999999999999</v>
      </c>
      <c r="Q25" s="8">
        <f>$W$12</f>
        <v>0.77800000000000002</v>
      </c>
      <c r="Y25" s="35">
        <v>0.75</v>
      </c>
      <c r="Z25" s="8">
        <f t="shared" si="5"/>
        <v>0.497</v>
      </c>
      <c r="AA25" s="8">
        <f t="shared" si="10"/>
        <v>0.54300000000000004</v>
      </c>
      <c r="AB25" s="8">
        <f t="shared" si="19"/>
        <v>0.622</v>
      </c>
      <c r="AC25" s="8">
        <f>$W$13</f>
        <v>0.42099999999999999</v>
      </c>
      <c r="AD25" s="8">
        <f>$W$12</f>
        <v>0.77800000000000002</v>
      </c>
    </row>
    <row r="26" spans="2:30" x14ac:dyDescent="0.3">
      <c r="B26" s="11" t="s">
        <v>134</v>
      </c>
      <c r="C26" s="11" t="s">
        <v>149</v>
      </c>
      <c r="D26" s="11" t="s">
        <v>37</v>
      </c>
      <c r="F26" s="3"/>
      <c r="G26" s="3"/>
      <c r="H26" s="3"/>
      <c r="I26" s="3"/>
      <c r="J26" s="8">
        <v>8.9300000000000004E-2</v>
      </c>
      <c r="L26" s="35">
        <v>0.79166666666666696</v>
      </c>
      <c r="M26" s="8">
        <f t="shared" si="2"/>
        <v>0.497</v>
      </c>
      <c r="N26" s="8">
        <f t="shared" si="8"/>
        <v>0.54300000000000004</v>
      </c>
      <c r="O26" s="8">
        <f t="shared" si="18"/>
        <v>0.622</v>
      </c>
      <c r="P26" s="8">
        <f>$W$12</f>
        <v>0.77800000000000002</v>
      </c>
      <c r="Q26" s="8">
        <f>$W$12</f>
        <v>0.77800000000000002</v>
      </c>
      <c r="Y26" s="35">
        <v>0.79166666666666696</v>
      </c>
      <c r="Z26" s="8">
        <f t="shared" si="5"/>
        <v>0.497</v>
      </c>
      <c r="AA26" s="8">
        <f t="shared" si="10"/>
        <v>0.54300000000000004</v>
      </c>
      <c r="AB26" s="8">
        <f t="shared" si="19"/>
        <v>0.622</v>
      </c>
      <c r="AC26" s="8">
        <f>$W$12</f>
        <v>0.77800000000000002</v>
      </c>
      <c r="AD26" s="8">
        <f>$W$12</f>
        <v>0.77800000000000002</v>
      </c>
    </row>
    <row r="27" spans="2:30" x14ac:dyDescent="0.3">
      <c r="B27" s="11" t="s">
        <v>141</v>
      </c>
      <c r="C27" s="11" t="s">
        <v>137</v>
      </c>
      <c r="D27" s="11" t="s">
        <v>138</v>
      </c>
      <c r="F27" s="3"/>
      <c r="G27" s="3"/>
      <c r="H27" s="3"/>
      <c r="I27" s="3"/>
      <c r="J27" s="3" t="s">
        <v>139</v>
      </c>
      <c r="L27" s="35">
        <v>0.83333333333333304</v>
      </c>
      <c r="M27" s="8">
        <f t="shared" si="2"/>
        <v>0.497</v>
      </c>
      <c r="N27" s="8">
        <f t="shared" si="8"/>
        <v>0.54300000000000004</v>
      </c>
      <c r="O27" s="8">
        <f t="shared" si="18"/>
        <v>0.622</v>
      </c>
      <c r="P27" s="8">
        <f>$W$12</f>
        <v>0.77800000000000002</v>
      </c>
      <c r="Q27" s="8">
        <f>$W$12</f>
        <v>0.77800000000000002</v>
      </c>
      <c r="Y27" s="35">
        <v>0.83333333333333304</v>
      </c>
      <c r="Z27" s="8">
        <f t="shared" si="5"/>
        <v>0.497</v>
      </c>
      <c r="AA27" s="8">
        <f t="shared" si="10"/>
        <v>0.54300000000000004</v>
      </c>
      <c r="AB27" s="8">
        <f t="shared" si="19"/>
        <v>0.622</v>
      </c>
      <c r="AC27" s="8">
        <f>$W$12</f>
        <v>0.77800000000000002</v>
      </c>
      <c r="AD27" s="8">
        <f>$W$12</f>
        <v>0.77800000000000002</v>
      </c>
    </row>
    <row r="28" spans="2:30" x14ac:dyDescent="0.3">
      <c r="B28" s="11" t="s">
        <v>150</v>
      </c>
      <c r="C28" s="11" t="s">
        <v>151</v>
      </c>
      <c r="D28" s="11" t="s">
        <v>37</v>
      </c>
      <c r="F28" s="3"/>
      <c r="G28" s="3"/>
      <c r="H28" s="3"/>
      <c r="I28" s="3"/>
      <c r="J28" s="8">
        <v>0.3881</v>
      </c>
      <c r="L28" s="35">
        <v>0.875</v>
      </c>
      <c r="M28" s="8">
        <f t="shared" si="2"/>
        <v>0.497</v>
      </c>
      <c r="N28" s="8">
        <f t="shared" si="8"/>
        <v>0.54300000000000004</v>
      </c>
      <c r="O28" s="8">
        <f t="shared" si="18"/>
        <v>0.622</v>
      </c>
      <c r="P28" s="8">
        <f>$W$12</f>
        <v>0.77800000000000002</v>
      </c>
      <c r="Q28" s="8">
        <f t="shared" ref="P28:Q30" si="20">$W$13</f>
        <v>0.42099999999999999</v>
      </c>
      <c r="Y28" s="35">
        <v>0.875</v>
      </c>
      <c r="Z28" s="8">
        <f t="shared" si="5"/>
        <v>0.497</v>
      </c>
      <c r="AA28" s="8">
        <f t="shared" si="10"/>
        <v>0.54300000000000004</v>
      </c>
      <c r="AB28" s="8">
        <f t="shared" si="19"/>
        <v>0.622</v>
      </c>
      <c r="AC28" s="8">
        <f>$W$12</f>
        <v>0.77800000000000002</v>
      </c>
      <c r="AD28" s="8">
        <f t="shared" ref="AC28:AD30" si="21">$W$13</f>
        <v>0.42099999999999999</v>
      </c>
    </row>
    <row r="29" spans="2:30" x14ac:dyDescent="0.3">
      <c r="B29" s="11" t="s">
        <v>141</v>
      </c>
      <c r="C29" s="11" t="s">
        <v>137</v>
      </c>
      <c r="D29" s="11" t="s">
        <v>138</v>
      </c>
      <c r="F29" s="3"/>
      <c r="G29" s="3"/>
      <c r="H29" s="3"/>
      <c r="I29" s="3"/>
      <c r="J29" s="3" t="s">
        <v>139</v>
      </c>
      <c r="L29" s="35">
        <v>0.91666666666666696</v>
      </c>
      <c r="M29" s="8">
        <f t="shared" si="2"/>
        <v>0.497</v>
      </c>
      <c r="N29" s="8">
        <f>$U$10</f>
        <v>0.41299999999999998</v>
      </c>
      <c r="O29" s="8">
        <f t="shared" ref="O29:O30" si="22">$V$8</f>
        <v>0.41299999999999998</v>
      </c>
      <c r="P29" s="8">
        <f t="shared" si="20"/>
        <v>0.42099999999999999</v>
      </c>
      <c r="Q29" s="8">
        <f t="shared" si="20"/>
        <v>0.42099999999999999</v>
      </c>
      <c r="Y29" s="35">
        <v>0.91666666666666696</v>
      </c>
      <c r="Z29" s="8">
        <f t="shared" si="5"/>
        <v>0.497</v>
      </c>
      <c r="AA29" s="8">
        <f>$U$10</f>
        <v>0.41299999999999998</v>
      </c>
      <c r="AB29" s="8">
        <f t="shared" ref="AB29:AB30" si="23">$V$8</f>
        <v>0.41299999999999998</v>
      </c>
      <c r="AC29" s="8">
        <f t="shared" si="21"/>
        <v>0.42099999999999999</v>
      </c>
      <c r="AD29" s="8">
        <f t="shared" si="21"/>
        <v>0.42099999999999999</v>
      </c>
    </row>
    <row r="30" spans="2:30" x14ac:dyDescent="0.3">
      <c r="B30" s="11" t="s">
        <v>134</v>
      </c>
      <c r="C30" s="11" t="s">
        <v>152</v>
      </c>
      <c r="D30" s="11" t="s">
        <v>37</v>
      </c>
      <c r="F30" s="3"/>
      <c r="G30" s="3"/>
      <c r="H30" s="3"/>
      <c r="I30" s="3"/>
      <c r="J30" s="8">
        <v>2.3755999999999999</v>
      </c>
      <c r="L30" s="35">
        <v>0.95833333333333304</v>
      </c>
      <c r="M30" s="8">
        <f t="shared" si="2"/>
        <v>0.497</v>
      </c>
      <c r="N30" s="8">
        <f>$U$10</f>
        <v>0.41299999999999998</v>
      </c>
      <c r="O30" s="8">
        <f t="shared" si="22"/>
        <v>0.41299999999999998</v>
      </c>
      <c r="P30" s="8">
        <f t="shared" si="20"/>
        <v>0.42099999999999999</v>
      </c>
      <c r="Q30" s="8">
        <f t="shared" si="20"/>
        <v>0.42099999999999999</v>
      </c>
      <c r="Y30" s="35">
        <v>0.95833333333333304</v>
      </c>
      <c r="Z30" s="8">
        <f t="shared" si="5"/>
        <v>0.497</v>
      </c>
      <c r="AA30" s="8">
        <f>$U$10</f>
        <v>0.41299999999999998</v>
      </c>
      <c r="AB30" s="8">
        <f t="shared" si="23"/>
        <v>0.41299999999999998</v>
      </c>
      <c r="AC30" s="8">
        <f t="shared" si="21"/>
        <v>0.42099999999999999</v>
      </c>
      <c r="AD30" s="8">
        <f t="shared" si="21"/>
        <v>0.42099999999999999</v>
      </c>
    </row>
    <row r="31" spans="2:30" x14ac:dyDescent="0.3">
      <c r="B31" s="11" t="s">
        <v>141</v>
      </c>
      <c r="C31" s="11" t="s">
        <v>137</v>
      </c>
      <c r="D31" s="11" t="s">
        <v>138</v>
      </c>
      <c r="F31" s="3"/>
      <c r="G31" s="3"/>
      <c r="H31" s="3"/>
      <c r="I31" s="3"/>
      <c r="J31" s="3" t="s">
        <v>139</v>
      </c>
      <c r="L31" s="9"/>
      <c r="Y31" s="9"/>
    </row>
    <row r="32" spans="2:30" x14ac:dyDescent="0.3">
      <c r="B32" s="15" t="s">
        <v>153</v>
      </c>
      <c r="C32" s="15" t="s">
        <v>154</v>
      </c>
      <c r="D32" s="15" t="s">
        <v>37</v>
      </c>
      <c r="F32" s="8">
        <v>3.3099999999999997E-2</v>
      </c>
      <c r="G32" s="8">
        <v>3.3099999999999997E-2</v>
      </c>
      <c r="H32" s="8">
        <v>3.3099999999999997E-2</v>
      </c>
      <c r="I32" s="8">
        <v>3.3099999999999997E-2</v>
      </c>
      <c r="J32" s="8">
        <v>3.3099999999999997E-2</v>
      </c>
      <c r="L32" s="3" t="s">
        <v>155</v>
      </c>
      <c r="M32" s="3"/>
      <c r="N32" s="3"/>
      <c r="O32" s="3"/>
      <c r="P32" s="3"/>
      <c r="Q32" s="3"/>
      <c r="Y32" s="3" t="s">
        <v>155</v>
      </c>
      <c r="Z32" s="3"/>
      <c r="AA32" s="3"/>
      <c r="AB32" s="3"/>
      <c r="AC32" s="3"/>
      <c r="AD32" s="3"/>
    </row>
    <row r="33" spans="2:30" x14ac:dyDescent="0.3">
      <c r="B33" s="15" t="s">
        <v>156</v>
      </c>
      <c r="C33" s="15" t="s">
        <v>137</v>
      </c>
      <c r="D33" s="15" t="s">
        <v>138</v>
      </c>
      <c r="F33" s="3" t="s">
        <v>139</v>
      </c>
      <c r="G33" s="3" t="s">
        <v>139</v>
      </c>
      <c r="H33" s="3" t="s">
        <v>139</v>
      </c>
      <c r="I33" s="3" t="s">
        <v>139</v>
      </c>
      <c r="J33" s="3" t="s">
        <v>139</v>
      </c>
      <c r="L33" s="35">
        <v>0</v>
      </c>
      <c r="M33" s="8">
        <f>$T$6</f>
        <v>0.497</v>
      </c>
      <c r="N33" s="8">
        <f t="shared" ref="N33:N38" si="24">$U$10</f>
        <v>0.41299999999999998</v>
      </c>
      <c r="O33" s="8">
        <f t="shared" ref="O33:O56" si="25">$V$8</f>
        <v>0.41299999999999998</v>
      </c>
      <c r="P33" s="8">
        <f t="shared" ref="P33:Q56" si="26">$W$13</f>
        <v>0.42099999999999999</v>
      </c>
      <c r="Q33" s="8">
        <f t="shared" si="26"/>
        <v>0.42099999999999999</v>
      </c>
      <c r="Y33" s="35">
        <v>0</v>
      </c>
      <c r="Z33" s="8">
        <f>$T$6</f>
        <v>0.497</v>
      </c>
      <c r="AA33" s="8">
        <f t="shared" ref="AA33:AA38" si="27">$U$10</f>
        <v>0.41299999999999998</v>
      </c>
      <c r="AB33" s="8">
        <f t="shared" ref="AB33:AB56" si="28">$V$8</f>
        <v>0.41299999999999998</v>
      </c>
      <c r="AC33" s="8">
        <f t="shared" ref="AC33:AD56" si="29">$W$13</f>
        <v>0.42099999999999999</v>
      </c>
      <c r="AD33" s="8">
        <f t="shared" si="29"/>
        <v>0.42099999999999999</v>
      </c>
    </row>
    <row r="34" spans="2:30" x14ac:dyDescent="0.3">
      <c r="B34" s="6" t="s">
        <v>157</v>
      </c>
      <c r="C34" s="6" t="s">
        <v>158</v>
      </c>
      <c r="D34" s="6" t="s">
        <v>127</v>
      </c>
      <c r="F34" s="3"/>
      <c r="G34" s="3"/>
      <c r="H34" s="3"/>
      <c r="I34" s="3"/>
      <c r="J34" s="3"/>
      <c r="L34" s="35">
        <v>4.1666666666666664E-2</v>
      </c>
      <c r="M34" s="8">
        <f t="shared" ref="M34:M56" si="30">$T$6</f>
        <v>0.497</v>
      </c>
      <c r="N34" s="8">
        <f t="shared" si="24"/>
        <v>0.41299999999999998</v>
      </c>
      <c r="O34" s="8">
        <f t="shared" si="25"/>
        <v>0.41299999999999998</v>
      </c>
      <c r="P34" s="8">
        <f t="shared" si="26"/>
        <v>0.42099999999999999</v>
      </c>
      <c r="Q34" s="8">
        <f t="shared" si="26"/>
        <v>0.42099999999999999</v>
      </c>
      <c r="Y34" s="35">
        <v>4.1666666666666664E-2</v>
      </c>
      <c r="Z34" s="8">
        <f t="shared" ref="Z34:Z56" si="31">$T$6</f>
        <v>0.497</v>
      </c>
      <c r="AA34" s="8">
        <f t="shared" si="27"/>
        <v>0.41299999999999998</v>
      </c>
      <c r="AB34" s="8">
        <f t="shared" si="28"/>
        <v>0.41299999999999998</v>
      </c>
      <c r="AC34" s="8">
        <f t="shared" si="29"/>
        <v>0.42099999999999999</v>
      </c>
      <c r="AD34" s="8">
        <f t="shared" si="29"/>
        <v>0.42099999999999999</v>
      </c>
    </row>
    <row r="35" spans="2:30" x14ac:dyDescent="0.3">
      <c r="B35" s="16" t="s">
        <v>159</v>
      </c>
      <c r="C35" s="16" t="s">
        <v>160</v>
      </c>
      <c r="D35" s="16" t="s">
        <v>37</v>
      </c>
      <c r="F35" s="8">
        <f>7.3/1000</f>
        <v>7.3000000000000001E-3</v>
      </c>
      <c r="G35" s="8">
        <f t="shared" ref="G35:J35" si="32">7.3/1000</f>
        <v>7.3000000000000001E-3</v>
      </c>
      <c r="H35" s="8">
        <f t="shared" si="32"/>
        <v>7.3000000000000001E-3</v>
      </c>
      <c r="I35" s="8">
        <f t="shared" si="32"/>
        <v>7.3000000000000001E-3</v>
      </c>
      <c r="J35" s="8">
        <f t="shared" si="32"/>
        <v>7.3000000000000001E-3</v>
      </c>
      <c r="L35" s="35">
        <v>8.3333333333333329E-2</v>
      </c>
      <c r="M35" s="8">
        <f t="shared" si="30"/>
        <v>0.497</v>
      </c>
      <c r="N35" s="8">
        <f t="shared" si="24"/>
        <v>0.41299999999999998</v>
      </c>
      <c r="O35" s="8">
        <f t="shared" si="25"/>
        <v>0.41299999999999998</v>
      </c>
      <c r="P35" s="8">
        <f t="shared" si="26"/>
        <v>0.42099999999999999</v>
      </c>
      <c r="Q35" s="8">
        <f t="shared" si="26"/>
        <v>0.42099999999999999</v>
      </c>
      <c r="Y35" s="35">
        <v>8.3333333333333329E-2</v>
      </c>
      <c r="Z35" s="8">
        <f t="shared" si="31"/>
        <v>0.497</v>
      </c>
      <c r="AA35" s="8">
        <f t="shared" si="27"/>
        <v>0.41299999999999998</v>
      </c>
      <c r="AB35" s="8">
        <f t="shared" si="28"/>
        <v>0.41299999999999998</v>
      </c>
      <c r="AC35" s="8">
        <f t="shared" si="29"/>
        <v>0.42099999999999999</v>
      </c>
      <c r="AD35" s="8">
        <f t="shared" si="29"/>
        <v>0.42099999999999999</v>
      </c>
    </row>
    <row r="36" spans="2:30" x14ac:dyDescent="0.3">
      <c r="B36" s="16" t="s">
        <v>161</v>
      </c>
      <c r="C36" s="16" t="s">
        <v>137</v>
      </c>
      <c r="D36" s="16" t="s">
        <v>138</v>
      </c>
      <c r="F36" s="3" t="s">
        <v>139</v>
      </c>
      <c r="G36" s="3" t="s">
        <v>139</v>
      </c>
      <c r="H36" s="3" t="s">
        <v>139</v>
      </c>
      <c r="I36" s="3" t="s">
        <v>139</v>
      </c>
      <c r="J36" s="3" t="s">
        <v>139</v>
      </c>
      <c r="L36" s="35">
        <v>0.125</v>
      </c>
      <c r="M36" s="8">
        <f t="shared" si="30"/>
        <v>0.497</v>
      </c>
      <c r="N36" s="8">
        <f t="shared" si="24"/>
        <v>0.41299999999999998</v>
      </c>
      <c r="O36" s="8">
        <f t="shared" si="25"/>
        <v>0.41299999999999998</v>
      </c>
      <c r="P36" s="8">
        <f t="shared" si="26"/>
        <v>0.42099999999999999</v>
      </c>
      <c r="Q36" s="8">
        <f t="shared" si="26"/>
        <v>0.42099999999999999</v>
      </c>
      <c r="Y36" s="35">
        <v>0.125</v>
      </c>
      <c r="Z36" s="8">
        <f t="shared" si="31"/>
        <v>0.497</v>
      </c>
      <c r="AA36" s="8">
        <f t="shared" si="27"/>
        <v>0.41299999999999998</v>
      </c>
      <c r="AB36" s="8">
        <f t="shared" si="28"/>
        <v>0.41299999999999998</v>
      </c>
      <c r="AC36" s="8">
        <f t="shared" si="29"/>
        <v>0.42099999999999999</v>
      </c>
      <c r="AD36" s="8">
        <f t="shared" si="29"/>
        <v>0.42099999999999999</v>
      </c>
    </row>
    <row r="37" spans="2:30" x14ac:dyDescent="0.3">
      <c r="B37" s="17" t="s">
        <v>162</v>
      </c>
      <c r="C37" s="17" t="s">
        <v>163</v>
      </c>
      <c r="D37" s="17" t="s">
        <v>37</v>
      </c>
      <c r="F37" s="8">
        <f>3/1000</f>
        <v>3.0000000000000001E-3</v>
      </c>
      <c r="G37" s="8">
        <f t="shared" ref="G37:J37" si="33">3/1000</f>
        <v>3.0000000000000001E-3</v>
      </c>
      <c r="H37" s="8">
        <f t="shared" si="33"/>
        <v>3.0000000000000001E-3</v>
      </c>
      <c r="I37" s="8">
        <f t="shared" si="33"/>
        <v>3.0000000000000001E-3</v>
      </c>
      <c r="J37" s="8">
        <f t="shared" si="33"/>
        <v>3.0000000000000001E-3</v>
      </c>
      <c r="L37" s="35">
        <v>0.16666666666666699</v>
      </c>
      <c r="M37" s="8">
        <f t="shared" si="30"/>
        <v>0.497</v>
      </c>
      <c r="N37" s="8">
        <f t="shared" si="24"/>
        <v>0.41299999999999998</v>
      </c>
      <c r="O37" s="8">
        <f t="shared" si="25"/>
        <v>0.41299999999999998</v>
      </c>
      <c r="P37" s="8">
        <f t="shared" si="26"/>
        <v>0.42099999999999999</v>
      </c>
      <c r="Q37" s="8">
        <f t="shared" si="26"/>
        <v>0.42099999999999999</v>
      </c>
      <c r="Y37" s="35">
        <v>0.16666666666666699</v>
      </c>
      <c r="Z37" s="8">
        <f t="shared" si="31"/>
        <v>0.497</v>
      </c>
      <c r="AA37" s="8">
        <f t="shared" si="27"/>
        <v>0.41299999999999998</v>
      </c>
      <c r="AB37" s="8">
        <f t="shared" si="28"/>
        <v>0.41299999999999998</v>
      </c>
      <c r="AC37" s="8">
        <f t="shared" si="29"/>
        <v>0.42099999999999999</v>
      </c>
      <c r="AD37" s="8">
        <f t="shared" si="29"/>
        <v>0.42099999999999999</v>
      </c>
    </row>
    <row r="38" spans="2:30" x14ac:dyDescent="0.3">
      <c r="B38" s="17" t="s">
        <v>164</v>
      </c>
      <c r="C38" s="17" t="s">
        <v>165</v>
      </c>
      <c r="D38" s="17" t="s">
        <v>138</v>
      </c>
      <c r="F38" s="3" t="s">
        <v>139</v>
      </c>
      <c r="G38" s="3" t="s">
        <v>139</v>
      </c>
      <c r="H38" s="3" t="s">
        <v>139</v>
      </c>
      <c r="I38" s="3" t="s">
        <v>139</v>
      </c>
      <c r="J38" s="3" t="s">
        <v>139</v>
      </c>
      <c r="L38" s="35">
        <v>0.20833333333333301</v>
      </c>
      <c r="M38" s="8">
        <f t="shared" si="30"/>
        <v>0.497</v>
      </c>
      <c r="N38" s="8">
        <f t="shared" si="24"/>
        <v>0.41299999999999998</v>
      </c>
      <c r="O38" s="8">
        <f t="shared" si="25"/>
        <v>0.41299999999999998</v>
      </c>
      <c r="P38" s="8">
        <f t="shared" si="26"/>
        <v>0.42099999999999999</v>
      </c>
      <c r="Q38" s="8">
        <f t="shared" si="26"/>
        <v>0.42099999999999999</v>
      </c>
      <c r="Y38" s="35">
        <v>0.20833333333333301</v>
      </c>
      <c r="Z38" s="8">
        <f t="shared" si="31"/>
        <v>0.497</v>
      </c>
      <c r="AA38" s="8">
        <f t="shared" si="27"/>
        <v>0.41299999999999998</v>
      </c>
      <c r="AB38" s="8">
        <f t="shared" si="28"/>
        <v>0.41299999999999998</v>
      </c>
      <c r="AC38" s="8">
        <f t="shared" si="29"/>
        <v>0.42099999999999999</v>
      </c>
      <c r="AD38" s="8">
        <f t="shared" si="29"/>
        <v>0.42099999999999999</v>
      </c>
    </row>
    <row r="39" spans="2:30" x14ac:dyDescent="0.3">
      <c r="B39" s="18" t="s">
        <v>166</v>
      </c>
      <c r="C39" s="18" t="s">
        <v>167</v>
      </c>
      <c r="D39" s="18" t="s">
        <v>127</v>
      </c>
      <c r="F39" s="7">
        <v>24.08</v>
      </c>
      <c r="G39" s="7">
        <v>24.08</v>
      </c>
      <c r="H39" s="7">
        <v>24.08</v>
      </c>
      <c r="I39" s="7">
        <v>24.08</v>
      </c>
      <c r="J39" s="7">
        <v>24.08</v>
      </c>
      <c r="L39" s="35">
        <v>0.25</v>
      </c>
      <c r="M39" s="8">
        <f t="shared" si="30"/>
        <v>0.497</v>
      </c>
      <c r="N39" s="8">
        <f>$U$9</f>
        <v>0.54300000000000004</v>
      </c>
      <c r="O39" s="8">
        <f t="shared" si="25"/>
        <v>0.41299999999999998</v>
      </c>
      <c r="P39" s="8">
        <f t="shared" si="26"/>
        <v>0.42099999999999999</v>
      </c>
      <c r="Q39" s="8">
        <f t="shared" si="26"/>
        <v>0.42099999999999999</v>
      </c>
      <c r="Y39" s="35">
        <v>0.25</v>
      </c>
      <c r="Z39" s="8">
        <f t="shared" si="31"/>
        <v>0.497</v>
      </c>
      <c r="AA39" s="8">
        <f>$U$9</f>
        <v>0.54300000000000004</v>
      </c>
      <c r="AB39" s="8">
        <f t="shared" si="28"/>
        <v>0.41299999999999998</v>
      </c>
      <c r="AC39" s="8">
        <f t="shared" si="29"/>
        <v>0.42099999999999999</v>
      </c>
      <c r="AD39" s="8">
        <f t="shared" si="29"/>
        <v>0.42099999999999999</v>
      </c>
    </row>
    <row r="40" spans="2:30" x14ac:dyDescent="0.3">
      <c r="B40" s="18" t="s">
        <v>168</v>
      </c>
      <c r="C40" s="18" t="s">
        <v>169</v>
      </c>
      <c r="D40" s="18" t="s">
        <v>133</v>
      </c>
      <c r="F40" s="3">
        <v>12</v>
      </c>
      <c r="G40" s="3">
        <v>12</v>
      </c>
      <c r="H40" s="3">
        <v>12</v>
      </c>
      <c r="I40" s="3">
        <v>12</v>
      </c>
      <c r="J40" s="3">
        <v>12</v>
      </c>
      <c r="L40" s="35">
        <v>0.29166666666666702</v>
      </c>
      <c r="M40" s="8">
        <f t="shared" si="30"/>
        <v>0.497</v>
      </c>
      <c r="N40" s="8">
        <f t="shared" ref="N40:N54" si="34">$U$9</f>
        <v>0.54300000000000004</v>
      </c>
      <c r="O40" s="8">
        <f t="shared" si="25"/>
        <v>0.41299999999999998</v>
      </c>
      <c r="P40" s="8">
        <f t="shared" si="26"/>
        <v>0.42099999999999999</v>
      </c>
      <c r="Q40" s="8">
        <f t="shared" si="26"/>
        <v>0.42099999999999999</v>
      </c>
      <c r="Y40" s="35">
        <v>0.29166666666666702</v>
      </c>
      <c r="Z40" s="8">
        <f t="shared" si="31"/>
        <v>0.497</v>
      </c>
      <c r="AA40" s="8">
        <f t="shared" ref="AA40:AA54" si="35">$U$9</f>
        <v>0.54300000000000004</v>
      </c>
      <c r="AB40" s="8">
        <f t="shared" si="28"/>
        <v>0.41299999999999998</v>
      </c>
      <c r="AC40" s="8">
        <f t="shared" si="29"/>
        <v>0.42099999999999999</v>
      </c>
      <c r="AD40" s="8">
        <f t="shared" si="29"/>
        <v>0.42099999999999999</v>
      </c>
    </row>
    <row r="41" spans="2:30" x14ac:dyDescent="0.3">
      <c r="B41" s="6" t="s">
        <v>170</v>
      </c>
      <c r="C41" s="6" t="s">
        <v>171</v>
      </c>
      <c r="D41" s="6" t="s">
        <v>127</v>
      </c>
      <c r="F41" s="7">
        <v>4.5599999999999996</v>
      </c>
      <c r="G41" s="7">
        <v>4.5599999999999996</v>
      </c>
      <c r="H41" s="7">
        <v>4.5599999999999996</v>
      </c>
      <c r="I41" s="7">
        <v>4.5599999999999996</v>
      </c>
      <c r="J41" s="7">
        <v>4.5599999999999996</v>
      </c>
      <c r="L41" s="35">
        <v>0.33333333333333298</v>
      </c>
      <c r="M41" s="8">
        <f t="shared" si="30"/>
        <v>0.497</v>
      </c>
      <c r="N41" s="8">
        <f t="shared" si="34"/>
        <v>0.54300000000000004</v>
      </c>
      <c r="O41" s="8">
        <f t="shared" si="25"/>
        <v>0.41299999999999998</v>
      </c>
      <c r="P41" s="8">
        <f t="shared" si="26"/>
        <v>0.42099999999999999</v>
      </c>
      <c r="Q41" s="8">
        <f t="shared" si="26"/>
        <v>0.42099999999999999</v>
      </c>
      <c r="Y41" s="35">
        <v>0.33333333333333298</v>
      </c>
      <c r="Z41" s="8">
        <f t="shared" si="31"/>
        <v>0.497</v>
      </c>
      <c r="AA41" s="8">
        <f t="shared" si="35"/>
        <v>0.54300000000000004</v>
      </c>
      <c r="AB41" s="8">
        <f t="shared" si="28"/>
        <v>0.41299999999999998</v>
      </c>
      <c r="AC41" s="8">
        <f t="shared" si="29"/>
        <v>0.42099999999999999</v>
      </c>
      <c r="AD41" s="8">
        <f t="shared" si="29"/>
        <v>0.42099999999999999</v>
      </c>
    </row>
    <row r="42" spans="2:30" x14ac:dyDescent="0.3">
      <c r="B42" s="6" t="s">
        <v>131</v>
      </c>
      <c r="C42" s="6" t="s">
        <v>132</v>
      </c>
      <c r="D42" s="6" t="s">
        <v>133</v>
      </c>
      <c r="F42" s="3">
        <v>12</v>
      </c>
      <c r="G42" s="3">
        <v>12</v>
      </c>
      <c r="H42" s="3">
        <v>12</v>
      </c>
      <c r="I42" s="3">
        <v>12</v>
      </c>
      <c r="J42" s="3">
        <v>12</v>
      </c>
      <c r="L42" s="35">
        <v>0.375</v>
      </c>
      <c r="M42" s="8">
        <f t="shared" si="30"/>
        <v>0.497</v>
      </c>
      <c r="N42" s="8">
        <f t="shared" si="34"/>
        <v>0.54300000000000004</v>
      </c>
      <c r="O42" s="8">
        <f t="shared" si="25"/>
        <v>0.41299999999999998</v>
      </c>
      <c r="P42" s="8">
        <f t="shared" si="26"/>
        <v>0.42099999999999999</v>
      </c>
      <c r="Q42" s="8">
        <f t="shared" si="26"/>
        <v>0.42099999999999999</v>
      </c>
      <c r="Y42" s="35">
        <v>0.375</v>
      </c>
      <c r="Z42" s="8">
        <f t="shared" si="31"/>
        <v>0.497</v>
      </c>
      <c r="AA42" s="8">
        <f t="shared" si="35"/>
        <v>0.54300000000000004</v>
      </c>
      <c r="AB42" s="8">
        <f t="shared" si="28"/>
        <v>0.41299999999999998</v>
      </c>
      <c r="AC42" s="8">
        <f t="shared" si="29"/>
        <v>0.42099999999999999</v>
      </c>
      <c r="AD42" s="8">
        <f t="shared" si="29"/>
        <v>0.42099999999999999</v>
      </c>
    </row>
    <row r="43" spans="2:30" x14ac:dyDescent="0.3">
      <c r="B43" s="4"/>
      <c r="C43" s="4"/>
      <c r="D43" s="4"/>
      <c r="L43" s="35">
        <v>0.41666666666666702</v>
      </c>
      <c r="M43" s="8">
        <f t="shared" si="30"/>
        <v>0.497</v>
      </c>
      <c r="N43" s="8">
        <f t="shared" si="34"/>
        <v>0.54300000000000004</v>
      </c>
      <c r="O43" s="8">
        <f t="shared" si="25"/>
        <v>0.41299999999999998</v>
      </c>
      <c r="P43" s="8">
        <f t="shared" si="26"/>
        <v>0.42099999999999999</v>
      </c>
      <c r="Q43" s="8">
        <f t="shared" si="26"/>
        <v>0.42099999999999999</v>
      </c>
      <c r="Y43" s="35">
        <v>0.41666666666666702</v>
      </c>
      <c r="Z43" s="8">
        <f t="shared" si="31"/>
        <v>0.497</v>
      </c>
      <c r="AA43" s="8">
        <f t="shared" si="35"/>
        <v>0.54300000000000004</v>
      </c>
      <c r="AB43" s="8">
        <f t="shared" si="28"/>
        <v>0.41299999999999998</v>
      </c>
      <c r="AC43" s="8">
        <f t="shared" si="29"/>
        <v>0.42099999999999999</v>
      </c>
      <c r="AD43" s="8">
        <f t="shared" si="29"/>
        <v>0.42099999999999999</v>
      </c>
    </row>
    <row r="44" spans="2:30" x14ac:dyDescent="0.3">
      <c r="B44" s="5" t="s">
        <v>172</v>
      </c>
      <c r="C44" s="4"/>
      <c r="D44" s="4"/>
      <c r="L44" s="35">
        <v>0.45833333333333298</v>
      </c>
      <c r="M44" s="8">
        <f t="shared" si="30"/>
        <v>0.497</v>
      </c>
      <c r="N44" s="8">
        <f t="shared" si="34"/>
        <v>0.54300000000000004</v>
      </c>
      <c r="O44" s="8">
        <f t="shared" si="25"/>
        <v>0.41299999999999998</v>
      </c>
      <c r="P44" s="8">
        <f t="shared" si="26"/>
        <v>0.42099999999999999</v>
      </c>
      <c r="Q44" s="8">
        <f t="shared" si="26"/>
        <v>0.42099999999999999</v>
      </c>
      <c r="Y44" s="35">
        <v>0.45833333333333298</v>
      </c>
      <c r="Z44" s="8">
        <f t="shared" si="31"/>
        <v>0.497</v>
      </c>
      <c r="AA44" s="8">
        <f t="shared" si="35"/>
        <v>0.54300000000000004</v>
      </c>
      <c r="AB44" s="8">
        <f t="shared" si="28"/>
        <v>0.41299999999999998</v>
      </c>
      <c r="AC44" s="8">
        <f t="shared" si="29"/>
        <v>0.42099999999999999</v>
      </c>
      <c r="AD44" s="8">
        <f t="shared" si="29"/>
        <v>0.42099999999999999</v>
      </c>
    </row>
    <row r="45" spans="2:30" x14ac:dyDescent="0.3">
      <c r="L45" s="35">
        <v>0.5</v>
      </c>
      <c r="M45" s="8">
        <f t="shared" si="30"/>
        <v>0.497</v>
      </c>
      <c r="N45" s="8">
        <f t="shared" si="34"/>
        <v>0.54300000000000004</v>
      </c>
      <c r="O45" s="8">
        <f t="shared" si="25"/>
        <v>0.41299999999999998</v>
      </c>
      <c r="P45" s="8">
        <f t="shared" si="26"/>
        <v>0.42099999999999999</v>
      </c>
      <c r="Q45" s="8">
        <f t="shared" si="26"/>
        <v>0.42099999999999999</v>
      </c>
      <c r="Y45" s="35">
        <v>0.5</v>
      </c>
      <c r="Z45" s="8">
        <f t="shared" si="31"/>
        <v>0.497</v>
      </c>
      <c r="AA45" s="8">
        <f t="shared" si="35"/>
        <v>0.54300000000000004</v>
      </c>
      <c r="AB45" s="8">
        <f t="shared" si="28"/>
        <v>0.41299999999999998</v>
      </c>
      <c r="AC45" s="8">
        <f t="shared" si="29"/>
        <v>0.42099999999999999</v>
      </c>
      <c r="AD45" s="8">
        <f t="shared" si="29"/>
        <v>0.42099999999999999</v>
      </c>
    </row>
    <row r="46" spans="2:30" x14ac:dyDescent="0.3">
      <c r="C46" s="19" t="s">
        <v>173</v>
      </c>
      <c r="L46" s="35">
        <v>0.54166666666666696</v>
      </c>
      <c r="M46" s="8">
        <f t="shared" si="30"/>
        <v>0.497</v>
      </c>
      <c r="N46" s="8">
        <f>$U$10</f>
        <v>0.41299999999999998</v>
      </c>
      <c r="O46" s="8">
        <f t="shared" si="25"/>
        <v>0.41299999999999998</v>
      </c>
      <c r="P46" s="8">
        <f t="shared" si="26"/>
        <v>0.42099999999999999</v>
      </c>
      <c r="Q46" s="8">
        <f t="shared" si="26"/>
        <v>0.42099999999999999</v>
      </c>
      <c r="Y46" s="35">
        <v>0.54166666666666696</v>
      </c>
      <c r="Z46" s="8">
        <f t="shared" si="31"/>
        <v>0.497</v>
      </c>
      <c r="AA46" s="8">
        <f>$U$10</f>
        <v>0.41299999999999998</v>
      </c>
      <c r="AB46" s="8">
        <f t="shared" si="28"/>
        <v>0.41299999999999998</v>
      </c>
      <c r="AC46" s="8">
        <f t="shared" si="29"/>
        <v>0.42099999999999999</v>
      </c>
      <c r="AD46" s="8">
        <f t="shared" si="29"/>
        <v>0.42099999999999999</v>
      </c>
    </row>
    <row r="47" spans="2:30" x14ac:dyDescent="0.3">
      <c r="C47" s="1" t="s">
        <v>174</v>
      </c>
      <c r="D47" s="1" t="s">
        <v>175</v>
      </c>
      <c r="L47" s="35">
        <v>0.58333333333333304</v>
      </c>
      <c r="M47" s="8">
        <f t="shared" si="30"/>
        <v>0.497</v>
      </c>
      <c r="N47" s="8">
        <f>$U$10</f>
        <v>0.41299999999999998</v>
      </c>
      <c r="O47" s="8">
        <f t="shared" si="25"/>
        <v>0.41299999999999998</v>
      </c>
      <c r="P47" s="8">
        <f t="shared" si="26"/>
        <v>0.42099999999999999</v>
      </c>
      <c r="Q47" s="8">
        <f t="shared" si="26"/>
        <v>0.42099999999999999</v>
      </c>
      <c r="Y47" s="35">
        <v>0.58333333333333304</v>
      </c>
      <c r="Z47" s="8">
        <f t="shared" si="31"/>
        <v>0.497</v>
      </c>
      <c r="AA47" s="8">
        <f>$U$10</f>
        <v>0.41299999999999998</v>
      </c>
      <c r="AB47" s="8">
        <f t="shared" si="28"/>
        <v>0.41299999999999998</v>
      </c>
      <c r="AC47" s="8">
        <f t="shared" si="29"/>
        <v>0.42099999999999999</v>
      </c>
      <c r="AD47" s="8">
        <f t="shared" si="29"/>
        <v>0.42099999999999999</v>
      </c>
    </row>
    <row r="48" spans="2:30" x14ac:dyDescent="0.3">
      <c r="C48" s="1" t="s">
        <v>176</v>
      </c>
      <c r="D48" s="1" t="s">
        <v>177</v>
      </c>
      <c r="L48" s="35">
        <v>0.625</v>
      </c>
      <c r="M48" s="8">
        <f t="shared" si="30"/>
        <v>0.497</v>
      </c>
      <c r="N48" s="8">
        <f t="shared" si="34"/>
        <v>0.54300000000000004</v>
      </c>
      <c r="O48" s="8">
        <f t="shared" si="25"/>
        <v>0.41299999999999998</v>
      </c>
      <c r="P48" s="8">
        <f t="shared" si="26"/>
        <v>0.42099999999999999</v>
      </c>
      <c r="Q48" s="8">
        <f t="shared" si="26"/>
        <v>0.42099999999999999</v>
      </c>
      <c r="Y48" s="35">
        <v>0.625</v>
      </c>
      <c r="Z48" s="8">
        <f t="shared" si="31"/>
        <v>0.497</v>
      </c>
      <c r="AA48" s="8">
        <f t="shared" si="35"/>
        <v>0.54300000000000004</v>
      </c>
      <c r="AB48" s="8">
        <f t="shared" si="28"/>
        <v>0.41299999999999998</v>
      </c>
      <c r="AC48" s="8">
        <f t="shared" si="29"/>
        <v>0.42099999999999999</v>
      </c>
      <c r="AD48" s="8">
        <f t="shared" si="29"/>
        <v>0.42099999999999999</v>
      </c>
    </row>
    <row r="49" spans="2:30" x14ac:dyDescent="0.3">
      <c r="C49" s="1" t="s">
        <v>178</v>
      </c>
      <c r="D49" s="1" t="s">
        <v>179</v>
      </c>
      <c r="L49" s="35">
        <v>0.66666666666666696</v>
      </c>
      <c r="M49" s="8">
        <f t="shared" si="30"/>
        <v>0.497</v>
      </c>
      <c r="N49" s="8">
        <f t="shared" si="34"/>
        <v>0.54300000000000004</v>
      </c>
      <c r="O49" s="8">
        <f t="shared" si="25"/>
        <v>0.41299999999999998</v>
      </c>
      <c r="P49" s="8">
        <f t="shared" si="26"/>
        <v>0.42099999999999999</v>
      </c>
      <c r="Q49" s="8">
        <f t="shared" si="26"/>
        <v>0.42099999999999999</v>
      </c>
      <c r="Y49" s="35">
        <v>0.66666666666666696</v>
      </c>
      <c r="Z49" s="8">
        <f t="shared" si="31"/>
        <v>0.497</v>
      </c>
      <c r="AA49" s="8">
        <f t="shared" si="35"/>
        <v>0.54300000000000004</v>
      </c>
      <c r="AB49" s="8">
        <f t="shared" si="28"/>
        <v>0.41299999999999998</v>
      </c>
      <c r="AC49" s="8">
        <f t="shared" si="29"/>
        <v>0.42099999999999999</v>
      </c>
      <c r="AD49" s="8">
        <f t="shared" si="29"/>
        <v>0.42099999999999999</v>
      </c>
    </row>
    <row r="50" spans="2:30" x14ac:dyDescent="0.3">
      <c r="L50" s="35">
        <v>0.70833333333333304</v>
      </c>
      <c r="M50" s="8">
        <f t="shared" si="30"/>
        <v>0.497</v>
      </c>
      <c r="N50" s="8">
        <f t="shared" si="34"/>
        <v>0.54300000000000004</v>
      </c>
      <c r="O50" s="8">
        <f t="shared" si="25"/>
        <v>0.41299999999999998</v>
      </c>
      <c r="P50" s="8">
        <f t="shared" si="26"/>
        <v>0.42099999999999999</v>
      </c>
      <c r="Q50" s="8">
        <f t="shared" si="26"/>
        <v>0.42099999999999999</v>
      </c>
      <c r="Y50" s="35">
        <v>0.70833333333333304</v>
      </c>
      <c r="Z50" s="8">
        <f t="shared" si="31"/>
        <v>0.497</v>
      </c>
      <c r="AA50" s="8">
        <f t="shared" si="35"/>
        <v>0.54300000000000004</v>
      </c>
      <c r="AB50" s="8">
        <f t="shared" si="28"/>
        <v>0.41299999999999998</v>
      </c>
      <c r="AC50" s="8">
        <f t="shared" si="29"/>
        <v>0.42099999999999999</v>
      </c>
      <c r="AD50" s="8">
        <f t="shared" si="29"/>
        <v>0.42099999999999999</v>
      </c>
    </row>
    <row r="51" spans="2:30" ht="14.4" x14ac:dyDescent="0.3">
      <c r="C51"/>
      <c r="D51" s="2" t="s">
        <v>46</v>
      </c>
      <c r="E51" s="2" t="s">
        <v>47</v>
      </c>
      <c r="F51" s="2" t="s">
        <v>48</v>
      </c>
      <c r="G51" s="2" t="s">
        <v>111</v>
      </c>
      <c r="L51" s="35">
        <v>0.75</v>
      </c>
      <c r="M51" s="8">
        <f t="shared" si="30"/>
        <v>0.497</v>
      </c>
      <c r="N51" s="8">
        <f t="shared" si="34"/>
        <v>0.54300000000000004</v>
      </c>
      <c r="O51" s="8">
        <f t="shared" si="25"/>
        <v>0.41299999999999998</v>
      </c>
      <c r="P51" s="8">
        <f t="shared" si="26"/>
        <v>0.42099999999999999</v>
      </c>
      <c r="Q51" s="8">
        <f t="shared" si="26"/>
        <v>0.42099999999999999</v>
      </c>
      <c r="Y51" s="35">
        <v>0.75</v>
      </c>
      <c r="Z51" s="8">
        <f t="shared" si="31"/>
        <v>0.497</v>
      </c>
      <c r="AA51" s="8">
        <f t="shared" si="35"/>
        <v>0.54300000000000004</v>
      </c>
      <c r="AB51" s="8">
        <f t="shared" si="28"/>
        <v>0.41299999999999998</v>
      </c>
      <c r="AC51" s="8">
        <f t="shared" si="29"/>
        <v>0.42099999999999999</v>
      </c>
      <c r="AD51" s="8">
        <f t="shared" si="29"/>
        <v>0.42099999999999999</v>
      </c>
    </row>
    <row r="52" spans="2:30" x14ac:dyDescent="0.3">
      <c r="C52" s="32" t="s">
        <v>112</v>
      </c>
      <c r="D52" s="33">
        <f>Energia!F43</f>
        <v>1</v>
      </c>
      <c r="E52" s="33"/>
      <c r="F52" s="33"/>
      <c r="G52" s="33"/>
      <c r="L52" s="35">
        <v>0.79166666666666696</v>
      </c>
      <c r="M52" s="8">
        <f t="shared" si="30"/>
        <v>0.497</v>
      </c>
      <c r="N52" s="8">
        <f t="shared" si="34"/>
        <v>0.54300000000000004</v>
      </c>
      <c r="O52" s="8">
        <f t="shared" si="25"/>
        <v>0.41299999999999998</v>
      </c>
      <c r="P52" s="8">
        <f t="shared" si="26"/>
        <v>0.42099999999999999</v>
      </c>
      <c r="Q52" s="8">
        <f t="shared" si="26"/>
        <v>0.42099999999999999</v>
      </c>
      <c r="Y52" s="35">
        <v>0.79166666666666696</v>
      </c>
      <c r="Z52" s="8">
        <f t="shared" si="31"/>
        <v>0.497</v>
      </c>
      <c r="AA52" s="8">
        <f t="shared" si="35"/>
        <v>0.54300000000000004</v>
      </c>
      <c r="AB52" s="8">
        <f t="shared" si="28"/>
        <v>0.41299999999999998</v>
      </c>
      <c r="AC52" s="8">
        <f t="shared" si="29"/>
        <v>0.42099999999999999</v>
      </c>
      <c r="AD52" s="8">
        <f t="shared" si="29"/>
        <v>0.42099999999999999</v>
      </c>
    </row>
    <row r="53" spans="2:30" x14ac:dyDescent="0.3">
      <c r="C53" s="32" t="s">
        <v>113</v>
      </c>
      <c r="D53" s="33"/>
      <c r="E53" s="33"/>
      <c r="F53" s="33">
        <f>Energia!H44</f>
        <v>0.41</v>
      </c>
      <c r="G53" s="33"/>
      <c r="L53" s="35">
        <v>0.83333333333333304</v>
      </c>
      <c r="M53" s="8">
        <f t="shared" si="30"/>
        <v>0.497</v>
      </c>
      <c r="N53" s="8">
        <f t="shared" si="34"/>
        <v>0.54300000000000004</v>
      </c>
      <c r="O53" s="8">
        <f t="shared" si="25"/>
        <v>0.41299999999999998</v>
      </c>
      <c r="P53" s="8">
        <f t="shared" si="26"/>
        <v>0.42099999999999999</v>
      </c>
      <c r="Q53" s="8">
        <f t="shared" si="26"/>
        <v>0.42099999999999999</v>
      </c>
      <c r="Y53" s="35">
        <v>0.83333333333333304</v>
      </c>
      <c r="Z53" s="8">
        <f t="shared" si="31"/>
        <v>0.497</v>
      </c>
      <c r="AA53" s="8">
        <f t="shared" si="35"/>
        <v>0.54300000000000004</v>
      </c>
      <c r="AB53" s="8">
        <f t="shared" si="28"/>
        <v>0.41299999999999998</v>
      </c>
      <c r="AC53" s="8">
        <f t="shared" si="29"/>
        <v>0.42099999999999999</v>
      </c>
      <c r="AD53" s="8">
        <f t="shared" si="29"/>
        <v>0.42099999999999999</v>
      </c>
    </row>
    <row r="54" spans="2:30" x14ac:dyDescent="0.3">
      <c r="C54" s="32" t="s">
        <v>114</v>
      </c>
      <c r="D54" s="33"/>
      <c r="E54" s="33"/>
      <c r="F54" s="33">
        <f>Energia!H45</f>
        <v>0.59</v>
      </c>
      <c r="G54" s="33"/>
      <c r="L54" s="35">
        <v>0.875</v>
      </c>
      <c r="M54" s="8">
        <f t="shared" si="30"/>
        <v>0.497</v>
      </c>
      <c r="N54" s="8">
        <f t="shared" si="34"/>
        <v>0.54300000000000004</v>
      </c>
      <c r="O54" s="8">
        <f t="shared" si="25"/>
        <v>0.41299999999999998</v>
      </c>
      <c r="P54" s="8">
        <f t="shared" si="26"/>
        <v>0.42099999999999999</v>
      </c>
      <c r="Q54" s="8">
        <f t="shared" si="26"/>
        <v>0.42099999999999999</v>
      </c>
      <c r="Y54" s="35">
        <v>0.875</v>
      </c>
      <c r="Z54" s="8">
        <f t="shared" si="31"/>
        <v>0.497</v>
      </c>
      <c r="AA54" s="8">
        <f t="shared" si="35"/>
        <v>0.54300000000000004</v>
      </c>
      <c r="AB54" s="8">
        <f t="shared" si="28"/>
        <v>0.41299999999999998</v>
      </c>
      <c r="AC54" s="8">
        <f t="shared" si="29"/>
        <v>0.42099999999999999</v>
      </c>
      <c r="AD54" s="8">
        <f t="shared" si="29"/>
        <v>0.42099999999999999</v>
      </c>
    </row>
    <row r="55" spans="2:30" x14ac:dyDescent="0.3">
      <c r="C55" s="32" t="s">
        <v>115</v>
      </c>
      <c r="D55" s="33"/>
      <c r="E55" s="33">
        <f>Energia!G46</f>
        <v>0.62</v>
      </c>
      <c r="F55" s="33"/>
      <c r="G55" s="33"/>
      <c r="L55" s="35">
        <v>0.91666666666666696</v>
      </c>
      <c r="M55" s="8">
        <f t="shared" si="30"/>
        <v>0.497</v>
      </c>
      <c r="N55" s="8">
        <f>$U$10</f>
        <v>0.41299999999999998</v>
      </c>
      <c r="O55" s="8">
        <f t="shared" si="25"/>
        <v>0.41299999999999998</v>
      </c>
      <c r="P55" s="8">
        <f t="shared" si="26"/>
        <v>0.42099999999999999</v>
      </c>
      <c r="Q55" s="8">
        <f t="shared" si="26"/>
        <v>0.42099999999999999</v>
      </c>
      <c r="Y55" s="35">
        <v>0.91666666666666696</v>
      </c>
      <c r="Z55" s="8">
        <f t="shared" si="31"/>
        <v>0.497</v>
      </c>
      <c r="AA55" s="8">
        <f>$U$10</f>
        <v>0.41299999999999998</v>
      </c>
      <c r="AB55" s="8">
        <f t="shared" si="28"/>
        <v>0.41299999999999998</v>
      </c>
      <c r="AC55" s="8">
        <f t="shared" si="29"/>
        <v>0.42099999999999999</v>
      </c>
      <c r="AD55" s="8">
        <f t="shared" si="29"/>
        <v>0.42099999999999999</v>
      </c>
    </row>
    <row r="56" spans="2:30" x14ac:dyDescent="0.3">
      <c r="C56" s="32" t="s">
        <v>116</v>
      </c>
      <c r="D56" s="33"/>
      <c r="E56" s="33">
        <f>Energia!G47</f>
        <v>0.38</v>
      </c>
      <c r="F56" s="33"/>
      <c r="G56" s="33"/>
      <c r="L56" s="35">
        <v>0.95833333333333304</v>
      </c>
      <c r="M56" s="8">
        <f t="shared" si="30"/>
        <v>0.497</v>
      </c>
      <c r="N56" s="8">
        <f>$U$10</f>
        <v>0.41299999999999998</v>
      </c>
      <c r="O56" s="8">
        <f t="shared" si="25"/>
        <v>0.41299999999999998</v>
      </c>
      <c r="P56" s="8">
        <f t="shared" si="26"/>
        <v>0.42099999999999999</v>
      </c>
      <c r="Q56" s="8">
        <f t="shared" si="26"/>
        <v>0.42099999999999999</v>
      </c>
      <c r="Y56" s="35">
        <v>0.95833333333333304</v>
      </c>
      <c r="Z56" s="8">
        <f t="shared" si="31"/>
        <v>0.497</v>
      </c>
      <c r="AA56" s="8">
        <f>$U$10</f>
        <v>0.41299999999999998</v>
      </c>
      <c r="AB56" s="8">
        <f t="shared" si="28"/>
        <v>0.41299999999999998</v>
      </c>
      <c r="AC56" s="8">
        <f t="shared" si="29"/>
        <v>0.42099999999999999</v>
      </c>
      <c r="AD56" s="8">
        <f t="shared" si="29"/>
        <v>0.42099999999999999</v>
      </c>
    </row>
    <row r="57" spans="2:30" x14ac:dyDescent="0.3">
      <c r="C57" s="32" t="s">
        <v>117</v>
      </c>
      <c r="D57" s="33"/>
      <c r="E57" s="33"/>
      <c r="F57" s="33"/>
      <c r="G57" s="33">
        <f>Energia!I48</f>
        <v>0.19</v>
      </c>
      <c r="L57" s="9"/>
      <c r="M57" s="10"/>
      <c r="N57" s="10"/>
      <c r="O57" s="10"/>
      <c r="P57" s="10"/>
      <c r="Q57" s="10"/>
      <c r="Y57" s="9"/>
      <c r="Z57" s="10"/>
      <c r="AA57" s="10"/>
      <c r="AB57" s="10"/>
      <c r="AC57" s="10"/>
      <c r="AD57" s="10"/>
    </row>
    <row r="58" spans="2:30" x14ac:dyDescent="0.3">
      <c r="C58" s="32" t="s">
        <v>118</v>
      </c>
      <c r="D58" s="33"/>
      <c r="E58" s="33"/>
      <c r="F58" s="33"/>
      <c r="G58" s="33">
        <f>Energia!I49</f>
        <v>0.2</v>
      </c>
      <c r="L58" s="9"/>
      <c r="Y58" s="9"/>
    </row>
    <row r="59" spans="2:30" x14ac:dyDescent="0.3">
      <c r="C59" s="32" t="s">
        <v>119</v>
      </c>
      <c r="D59" s="33"/>
      <c r="E59" s="33"/>
      <c r="F59" s="33"/>
      <c r="G59" s="33">
        <f>Energia!I50</f>
        <v>0.61</v>
      </c>
    </row>
    <row r="61" spans="2:30" x14ac:dyDescent="0.3">
      <c r="C61" s="19" t="s">
        <v>180</v>
      </c>
      <c r="G61" s="1" t="s">
        <v>181</v>
      </c>
      <c r="L61" s="9"/>
      <c r="N61" s="10"/>
      <c r="O61" s="10" t="s">
        <v>182</v>
      </c>
      <c r="P61" s="1" t="s">
        <v>183</v>
      </c>
      <c r="Q61" s="174" t="s">
        <v>184</v>
      </c>
      <c r="R61" s="174"/>
      <c r="S61" s="1" t="s">
        <v>185</v>
      </c>
      <c r="Y61" s="9"/>
      <c r="Z61" s="10"/>
      <c r="AA61" s="10"/>
      <c r="AB61" s="10"/>
      <c r="AC61" s="10"/>
      <c r="AD61" s="10"/>
    </row>
    <row r="62" spans="2:30" x14ac:dyDescent="0.3">
      <c r="G62" s="1" t="str">
        <f>B6</f>
        <v>S(SVn)</v>
      </c>
      <c r="H62" s="1" t="str">
        <f>B8</f>
        <v>S(ZVnm)</v>
      </c>
      <c r="I62" s="1" t="str">
        <f>B32</f>
        <v>S(oSJ)</v>
      </c>
      <c r="J62" s="1" t="str">
        <f>B35</f>
        <v>S(OZE)</v>
      </c>
      <c r="K62" s="9" t="str">
        <f>B37</f>
        <v>S(ok)</v>
      </c>
      <c r="L62" s="1" t="str">
        <f>B39</f>
        <v>S(om)</v>
      </c>
      <c r="M62" s="10" t="str">
        <f>B41</f>
        <v>O(a)</v>
      </c>
      <c r="N62" s="10"/>
      <c r="O62" s="10"/>
      <c r="Q62" s="10" t="s">
        <v>186</v>
      </c>
      <c r="R62" s="1" t="s">
        <v>65</v>
      </c>
      <c r="S62" s="43">
        <v>0.23</v>
      </c>
      <c r="Y62" s="9"/>
      <c r="Z62" s="10"/>
      <c r="AA62" s="10"/>
      <c r="AB62" s="10"/>
      <c r="AC62" s="10"/>
      <c r="AD62" s="10"/>
    </row>
    <row r="63" spans="2:30" x14ac:dyDescent="0.3">
      <c r="B63" s="170" t="s">
        <v>46</v>
      </c>
      <c r="C63" s="1" t="s">
        <v>187</v>
      </c>
      <c r="D63" s="37">
        <f>D64+D65</f>
        <v>6868.9249607954362</v>
      </c>
      <c r="E63" s="1" t="s">
        <v>75</v>
      </c>
      <c r="K63" s="9"/>
      <c r="M63" s="10"/>
      <c r="O63" s="10"/>
      <c r="Q63" s="40">
        <f>Q64+Q65</f>
        <v>5878.4701591538496</v>
      </c>
      <c r="R63" s="38">
        <f>Q63*(1+$S$62)</f>
        <v>7230.5182957592351</v>
      </c>
      <c r="S63" s="42">
        <f>Q63/D63*(1+$S$62)</f>
        <v>1.0526419107833616</v>
      </c>
      <c r="T63" s="83" t="s">
        <v>188</v>
      </c>
      <c r="U63" s="84">
        <f>(G64+L64+M64)*(1+$S$62)</f>
        <v>583.02</v>
      </c>
      <c r="Y63" s="9"/>
      <c r="Z63" s="10"/>
      <c r="AA63" s="10"/>
      <c r="AB63" s="10"/>
      <c r="AC63" s="10"/>
      <c r="AD63" s="10"/>
    </row>
    <row r="64" spans="2:30" x14ac:dyDescent="0.3">
      <c r="B64" s="170"/>
      <c r="C64" s="1" t="s">
        <v>189</v>
      </c>
      <c r="D64" s="37">
        <f>Budynek!$C$12</f>
        <v>3800</v>
      </c>
      <c r="E64" s="1" t="s">
        <v>75</v>
      </c>
      <c r="G64" s="39">
        <f>$F$6*$F$7</f>
        <v>130.32</v>
      </c>
      <c r="H64" s="39">
        <f>$F$8*D64</f>
        <v>936.32</v>
      </c>
      <c r="I64" s="39">
        <f>$F$32*D64</f>
        <v>125.77999999999999</v>
      </c>
      <c r="J64" s="82">
        <f>$F$35*D64</f>
        <v>27.740000000000002</v>
      </c>
      <c r="K64" s="82">
        <f>$F$37*D64</f>
        <v>11.4</v>
      </c>
      <c r="L64" s="39">
        <f>$F$39*$F$40</f>
        <v>288.95999999999998</v>
      </c>
      <c r="M64" s="39">
        <f>$F$41*$F$42</f>
        <v>54.72</v>
      </c>
      <c r="N64" s="10"/>
      <c r="O64" s="40">
        <f>SUM(G64:M64)</f>
        <v>1575.2400000000002</v>
      </c>
      <c r="P64" s="40">
        <f>D64*$T$6</f>
        <v>1888.6</v>
      </c>
      <c r="Q64" s="40">
        <f>O64+P64</f>
        <v>3463.84</v>
      </c>
      <c r="R64" s="38">
        <f>Q64*(1+$S$62)</f>
        <v>4260.5232000000005</v>
      </c>
      <c r="S64" s="42">
        <f>Q64/D64*(1+$S$62)</f>
        <v>1.1211903157894738</v>
      </c>
      <c r="T64" s="83" t="s">
        <v>190</v>
      </c>
      <c r="U64" s="84">
        <f>(H64+I64+J64+K64+P64)*(1+$S$62)</f>
        <v>3677.5032000000001</v>
      </c>
      <c r="Y64" s="9"/>
      <c r="Z64" s="10"/>
      <c r="AA64" s="10"/>
      <c r="AB64" s="10"/>
      <c r="AC64" s="10"/>
      <c r="AD64" s="10"/>
    </row>
    <row r="65" spans="2:30" x14ac:dyDescent="0.3">
      <c r="B65" s="170"/>
      <c r="C65" s="1" t="s">
        <v>191</v>
      </c>
      <c r="D65" s="37">
        <f>Budynek!C6/Budynek!C15+Budynek!C10/Budynek!D15</f>
        <v>3068.9249607954362</v>
      </c>
      <c r="E65" s="1" t="s">
        <v>75</v>
      </c>
      <c r="H65" s="39">
        <f>D65*$F$8</f>
        <v>756.18311033999555</v>
      </c>
      <c r="I65" s="39">
        <f>$F$32*D65</f>
        <v>101.58141620232892</v>
      </c>
      <c r="J65" s="82">
        <f>$F$35*D65</f>
        <v>22.403152213806685</v>
      </c>
      <c r="K65" s="82">
        <f>$F$37*D65</f>
        <v>9.2067748823863091</v>
      </c>
      <c r="L65" s="9"/>
      <c r="M65" s="10"/>
      <c r="N65" s="10"/>
      <c r="O65" s="40">
        <f>SUM(G65:M65)</f>
        <v>889.37445363851748</v>
      </c>
      <c r="P65" s="40">
        <f>D65*$T$6</f>
        <v>1525.2557055153318</v>
      </c>
      <c r="Q65" s="40">
        <f>O65+P65</f>
        <v>2414.6301591538495</v>
      </c>
      <c r="R65" s="38">
        <f>Q65*(1+$S$62)</f>
        <v>2969.995095759235</v>
      </c>
      <c r="S65" s="42">
        <f>Q65/D65*(1+$S$62)</f>
        <v>0.96776400000000007</v>
      </c>
      <c r="T65" s="83" t="s">
        <v>191</v>
      </c>
      <c r="U65" s="84">
        <f>(H65+I65+J65+K65+P65)*(1+$S$62)</f>
        <v>2969.995095759235</v>
      </c>
      <c r="Y65" s="9"/>
      <c r="Z65" s="10"/>
      <c r="AA65" s="10"/>
      <c r="AB65" s="10"/>
      <c r="AC65" s="10"/>
      <c r="AD65" s="10"/>
    </row>
    <row r="66" spans="2:30" x14ac:dyDescent="0.3">
      <c r="L66" s="9"/>
      <c r="M66" s="10"/>
      <c r="N66" s="10"/>
      <c r="O66" s="10"/>
      <c r="P66" s="10"/>
      <c r="Q66" s="10"/>
      <c r="R66" s="38"/>
      <c r="Y66" s="9"/>
      <c r="Z66" s="10"/>
      <c r="AA66" s="10"/>
      <c r="AB66" s="10"/>
      <c r="AC66" s="10"/>
      <c r="AD66" s="10"/>
    </row>
    <row r="67" spans="2:30" x14ac:dyDescent="0.3">
      <c r="B67" s="170" t="s">
        <v>47</v>
      </c>
      <c r="C67" s="1" t="s">
        <v>187</v>
      </c>
      <c r="D67" s="37">
        <f>D68+D69</f>
        <v>6868.9249607954362</v>
      </c>
      <c r="E67" s="1" t="s">
        <v>75</v>
      </c>
      <c r="K67" s="9"/>
      <c r="M67" s="10"/>
      <c r="O67" s="10"/>
      <c r="Q67" s="40">
        <f>Q68+Q69</f>
        <v>5520.3607943778989</v>
      </c>
      <c r="R67" s="38">
        <f>Q67*(1+$S$62)</f>
        <v>6790.0437770848157</v>
      </c>
      <c r="S67" s="42">
        <f>Q67/D67*(1+$S$62)</f>
        <v>0.98851622573243458</v>
      </c>
      <c r="T67" s="83" t="s">
        <v>188</v>
      </c>
      <c r="U67" s="84">
        <f>(G68+L68+M68)*(1+$S$62)</f>
        <v>583.02</v>
      </c>
      <c r="Y67" s="9"/>
      <c r="Z67" s="10"/>
      <c r="AA67" s="10"/>
      <c r="AB67" s="10"/>
      <c r="AC67" s="10"/>
      <c r="AD67" s="10"/>
    </row>
    <row r="68" spans="2:30" x14ac:dyDescent="0.3">
      <c r="B68" s="170"/>
      <c r="C68" s="1" t="s">
        <v>189</v>
      </c>
      <c r="D68" s="37">
        <f>Budynek!$C$12</f>
        <v>3800</v>
      </c>
      <c r="E68" s="1" t="s">
        <v>75</v>
      </c>
      <c r="G68" s="39">
        <f>$G$6*$G$7</f>
        <v>130.32</v>
      </c>
      <c r="H68" s="39">
        <f>$G$10*D68*$E$55+D68*$E$56*$G$12</f>
        <v>749.91480000000013</v>
      </c>
      <c r="I68" s="39">
        <f>$G$32*D68</f>
        <v>125.77999999999999</v>
      </c>
      <c r="J68" s="82">
        <f>$G$35*D68</f>
        <v>27.740000000000002</v>
      </c>
      <c r="K68" s="82">
        <f>$G$37*D68</f>
        <v>11.4</v>
      </c>
      <c r="L68" s="39">
        <f>$G$39*$G$40</f>
        <v>288.95999999999998</v>
      </c>
      <c r="M68" s="39">
        <f>$G$41*$G$42</f>
        <v>54.72</v>
      </c>
      <c r="N68" s="10"/>
      <c r="O68" s="40">
        <f>SUM(G68:M68)</f>
        <v>1388.8348000000003</v>
      </c>
      <c r="P68" s="40">
        <f>D68*$E$55*$U$9+D68*$E$56*$U$10</f>
        <v>1875.6799999999998</v>
      </c>
      <c r="Q68" s="40">
        <f>O68+P68</f>
        <v>3264.5147999999999</v>
      </c>
      <c r="R68" s="38">
        <f>Q68*(1+$S$62)</f>
        <v>4015.353204</v>
      </c>
      <c r="S68" s="42">
        <f>Q68/D68*(1+$S$62)</f>
        <v>1.0566718957894736</v>
      </c>
      <c r="T68" s="83" t="s">
        <v>190</v>
      </c>
      <c r="U68" s="84">
        <f>(H68+I68+J68+K68+P68)*(1+$S$62)</f>
        <v>3432.333204</v>
      </c>
      <c r="Y68" s="9"/>
      <c r="Z68" s="10"/>
      <c r="AA68" s="10"/>
      <c r="AB68" s="10"/>
      <c r="AC68" s="10"/>
      <c r="AD68" s="10"/>
    </row>
    <row r="69" spans="2:30" x14ac:dyDescent="0.3">
      <c r="B69" s="170"/>
      <c r="C69" s="1" t="s">
        <v>191</v>
      </c>
      <c r="D69" s="37">
        <f>D65</f>
        <v>3068.9249607954362</v>
      </c>
      <c r="E69" s="1" t="s">
        <v>75</v>
      </c>
      <c r="H69" s="39">
        <f>D69*$E$55*$G$10+$G$12*$E$56*D69</f>
        <v>605.64006531313612</v>
      </c>
      <c r="I69" s="39">
        <f>D69*$G$32</f>
        <v>101.58141620232892</v>
      </c>
      <c r="J69" s="82">
        <f>D69*$G$35</f>
        <v>22.403152213806685</v>
      </c>
      <c r="K69" s="82">
        <f>D68*$G$37</f>
        <v>11.4</v>
      </c>
      <c r="L69" s="9"/>
      <c r="M69" s="10"/>
      <c r="N69" s="10"/>
      <c r="O69" s="40">
        <f>SUM(G69:M69)</f>
        <v>741.02463372927173</v>
      </c>
      <c r="P69" s="40">
        <f>D69*$E$55*$U$9+$U$10*$E$56*D69</f>
        <v>1514.8213606486274</v>
      </c>
      <c r="Q69" s="40">
        <f>O69+P69</f>
        <v>2255.8459943778989</v>
      </c>
      <c r="R69" s="38">
        <f>Q69*(1+$S$62)</f>
        <v>2774.6905730848157</v>
      </c>
      <c r="S69" s="42">
        <f>Q69/D69*(1+$S$62)</f>
        <v>0.90412460667192152</v>
      </c>
      <c r="T69" s="83" t="s">
        <v>191</v>
      </c>
      <c r="U69" s="84">
        <f>(H69+I69+J69+K69+P69)*(1+$S$62)</f>
        <v>2774.6905730848157</v>
      </c>
      <c r="Y69" s="9"/>
      <c r="Z69" s="10"/>
      <c r="AA69" s="10"/>
      <c r="AB69" s="10"/>
      <c r="AC69" s="10"/>
      <c r="AD69" s="10"/>
    </row>
    <row r="70" spans="2:30" x14ac:dyDescent="0.3">
      <c r="J70" s="82"/>
      <c r="K70" s="82"/>
      <c r="L70" s="9"/>
      <c r="M70" s="10"/>
      <c r="N70" s="10"/>
      <c r="O70" s="10"/>
      <c r="P70" s="10"/>
      <c r="Q70" s="10"/>
      <c r="R70" s="38"/>
      <c r="Y70" s="9"/>
      <c r="Z70" s="10"/>
      <c r="AA70" s="10"/>
      <c r="AB70" s="10"/>
      <c r="AC70" s="10"/>
      <c r="AD70" s="10"/>
    </row>
    <row r="71" spans="2:30" x14ac:dyDescent="0.3">
      <c r="B71" s="170" t="s">
        <v>48</v>
      </c>
      <c r="C71" s="1" t="s">
        <v>187</v>
      </c>
      <c r="D71" s="37">
        <f>D72+D73</f>
        <v>6868.9249607954362</v>
      </c>
      <c r="E71" s="1" t="s">
        <v>75</v>
      </c>
      <c r="J71" s="82"/>
      <c r="K71" s="82"/>
      <c r="O71" s="10"/>
      <c r="Q71" s="40">
        <f>Q72+Q73</f>
        <v>5333.8743125621431</v>
      </c>
      <c r="R71" s="38">
        <f>Q71*(1+$S$62)</f>
        <v>6560.6654044514362</v>
      </c>
      <c r="S71" s="42">
        <f>Q71/D71*(1+$S$62)</f>
        <v>0.95512259078336148</v>
      </c>
      <c r="T71" s="83" t="s">
        <v>188</v>
      </c>
      <c r="U71" s="84">
        <f>(G72+L72+M72)*(1+$S$62)</f>
        <v>583.02</v>
      </c>
      <c r="Y71" s="9"/>
      <c r="Z71" s="10"/>
      <c r="AA71" s="10"/>
      <c r="AB71" s="10"/>
      <c r="AC71" s="10"/>
      <c r="AD71" s="10"/>
    </row>
    <row r="72" spans="2:30" x14ac:dyDescent="0.3">
      <c r="B72" s="170"/>
      <c r="C72" s="1" t="s">
        <v>189</v>
      </c>
      <c r="D72" s="37">
        <f>Budynek!$C$12</f>
        <v>3800</v>
      </c>
      <c r="E72" s="1" t="s">
        <v>75</v>
      </c>
      <c r="G72" s="39">
        <f>$H$6*$H$7</f>
        <v>130.32</v>
      </c>
      <c r="H72" s="39">
        <f>$H$14*$F$53*D72+D72*$H$16*$F$54</f>
        <v>628.61879999999985</v>
      </c>
      <c r="I72" s="39">
        <f>$H$32*D72</f>
        <v>125.77999999999999</v>
      </c>
      <c r="J72" s="82">
        <f>$H$35*D72</f>
        <v>27.740000000000002</v>
      </c>
      <c r="K72" s="82">
        <f>$H$37*D72</f>
        <v>11.4</v>
      </c>
      <c r="L72" s="39">
        <f>$H$39*$H$40</f>
        <v>288.95999999999998</v>
      </c>
      <c r="M72" s="39">
        <f>$H$41*$H$42</f>
        <v>54.72</v>
      </c>
      <c r="N72" s="10"/>
      <c r="O72" s="40">
        <f>SUM(G72:M72)</f>
        <v>1267.5387999999998</v>
      </c>
      <c r="P72" s="40">
        <f>D72*$F$53*$V$7+D72*$F$54*$V$8</f>
        <v>1895.0219999999999</v>
      </c>
      <c r="Q72" s="40">
        <f>O72+P72</f>
        <v>3162.5607999999997</v>
      </c>
      <c r="R72" s="38">
        <f>Q72*(1+$S$62)</f>
        <v>3889.9497839999995</v>
      </c>
      <c r="S72" s="42">
        <f>Q72/D72*(1+$S$62)</f>
        <v>1.0236709957894736</v>
      </c>
      <c r="T72" s="83" t="s">
        <v>190</v>
      </c>
      <c r="U72" s="84">
        <f>(H72+I72+J72+K72+P72)*(1+$S$62)</f>
        <v>3306.9297839999995</v>
      </c>
      <c r="Y72" s="9"/>
      <c r="Z72" s="10"/>
      <c r="AA72" s="10"/>
      <c r="AB72" s="10"/>
      <c r="AC72" s="10"/>
      <c r="AD72" s="10"/>
    </row>
    <row r="73" spans="2:30" x14ac:dyDescent="0.3">
      <c r="B73" s="170"/>
      <c r="C73" s="1" t="s">
        <v>191</v>
      </c>
      <c r="D73" s="37">
        <f>D65</f>
        <v>3068.9249607954362</v>
      </c>
      <c r="E73" s="1" t="s">
        <v>75</v>
      </c>
      <c r="H73" s="39">
        <f>$H$14*$F$53*D73+$H$16*$F$54*D73</f>
        <v>507.67998056454576</v>
      </c>
      <c r="I73" s="39">
        <f>$H$32*D73</f>
        <v>101.58141620232892</v>
      </c>
      <c r="J73" s="82">
        <f>$H$35*D73</f>
        <v>22.403152213806685</v>
      </c>
      <c r="K73" s="82">
        <f>$H$37*D73</f>
        <v>9.2067748823863091</v>
      </c>
      <c r="L73" s="9"/>
      <c r="M73" s="10"/>
      <c r="N73" s="10"/>
      <c r="O73" s="40">
        <f>SUM(G73:M73)</f>
        <v>640.87132386306769</v>
      </c>
      <c r="P73" s="40">
        <f>D73*$F$53*$V$7+D73*$F$54*$V$8</f>
        <v>1530.4421886990758</v>
      </c>
      <c r="Q73" s="40">
        <f>O73+P73</f>
        <v>2171.3135125621434</v>
      </c>
      <c r="R73" s="38">
        <f>Q73*(1+$S$62)</f>
        <v>2670.7156204514363</v>
      </c>
      <c r="S73" s="42">
        <f>Q73/D73*(1+$S$62)</f>
        <v>0.87024467999999977</v>
      </c>
      <c r="T73" s="83" t="s">
        <v>191</v>
      </c>
      <c r="U73" s="84">
        <f>(H73+I73+J73+K73+P73)*(1+$S$62)</f>
        <v>2670.7156204514363</v>
      </c>
      <c r="Y73" s="9"/>
      <c r="Z73" s="10"/>
      <c r="AA73" s="10"/>
      <c r="AB73" s="10"/>
      <c r="AC73" s="10"/>
      <c r="AD73" s="10"/>
    </row>
    <row r="74" spans="2:30" x14ac:dyDescent="0.3">
      <c r="J74" s="82"/>
      <c r="K74" s="82"/>
      <c r="L74" s="9"/>
      <c r="M74" s="10"/>
      <c r="N74" s="10"/>
      <c r="O74" s="10"/>
      <c r="P74" s="10"/>
      <c r="Q74" s="10"/>
      <c r="Y74" s="9"/>
      <c r="Z74" s="10"/>
      <c r="AA74" s="10"/>
      <c r="AB74" s="10"/>
      <c r="AC74" s="10"/>
      <c r="AD74" s="10"/>
    </row>
    <row r="75" spans="2:30" x14ac:dyDescent="0.3">
      <c r="B75" s="170" t="s">
        <v>111</v>
      </c>
      <c r="C75" s="1" t="s">
        <v>187</v>
      </c>
      <c r="D75" s="37">
        <f>D76+D77</f>
        <v>6868.9249607954362</v>
      </c>
      <c r="E75" s="1" t="s">
        <v>75</v>
      </c>
      <c r="J75" s="82"/>
      <c r="K75" s="82"/>
      <c r="O75" s="10"/>
      <c r="Q75" s="40">
        <f>Q76+Q77</f>
        <v>5201.4070946932034</v>
      </c>
      <c r="R75" s="38">
        <f>Q75*(1+$S$62)</f>
        <v>6397.7307264726396</v>
      </c>
      <c r="S75" s="42">
        <f>Q75/D75*(1+$S$62)</f>
        <v>0.93140204078336142</v>
      </c>
      <c r="T75" s="83" t="s">
        <v>188</v>
      </c>
      <c r="U75" s="84">
        <f>(G76+L76+M76)*(1+$S$62)</f>
        <v>583.02</v>
      </c>
      <c r="Y75" s="9"/>
      <c r="Z75" s="10"/>
      <c r="AA75" s="10"/>
      <c r="AB75" s="10"/>
      <c r="AC75" s="10"/>
      <c r="AD75" s="10"/>
    </row>
    <row r="76" spans="2:30" x14ac:dyDescent="0.3">
      <c r="B76" s="170"/>
      <c r="C76" s="1" t="s">
        <v>189</v>
      </c>
      <c r="D76" s="37">
        <f>Budynek!$C$12</f>
        <v>3800</v>
      </c>
      <c r="E76" s="1" t="s">
        <v>75</v>
      </c>
      <c r="G76" s="39">
        <f>$I$6*$I$7</f>
        <v>130.32</v>
      </c>
      <c r="H76" s="39">
        <f>$I$18*$G$57*D76+D76*$G$58*$I$20+$I$22*$G$59*D76</f>
        <v>546.17020000000002</v>
      </c>
      <c r="I76" s="39">
        <f>$I$32*D76</f>
        <v>125.77999999999999</v>
      </c>
      <c r="J76" s="82">
        <f>D76*$I$35</f>
        <v>27.740000000000002</v>
      </c>
      <c r="K76" s="82">
        <f>$I$37*D76</f>
        <v>11.4</v>
      </c>
      <c r="L76" s="39">
        <f>$I$39*$I$40</f>
        <v>288.95999999999998</v>
      </c>
      <c r="M76" s="39">
        <f>$I$41*$I$42</f>
        <v>54.72</v>
      </c>
      <c r="N76" s="10"/>
      <c r="O76" s="40">
        <f>SUM(G76:M76)</f>
        <v>1185.0901999999999</v>
      </c>
      <c r="P76" s="40">
        <f>D76*$G$57*$W$11+$W$12*$G$58*D76+D76*$G$59*$W$13</f>
        <v>1904.1876</v>
      </c>
      <c r="Q76" s="40">
        <f>O76+P76</f>
        <v>3089.2777999999998</v>
      </c>
      <c r="R76" s="38">
        <f>Q76*(1+$S$62)</f>
        <v>3799.8116939999995</v>
      </c>
      <c r="S76" s="42">
        <f>Q76/D76*(1+$S$62)</f>
        <v>0.99995044578947356</v>
      </c>
      <c r="T76" s="83" t="s">
        <v>190</v>
      </c>
      <c r="U76" s="84">
        <f>(H76+I76+J76+K76+P76)*(1+$S$62)</f>
        <v>3216.7916939999996</v>
      </c>
      <c r="Y76" s="9"/>
      <c r="Z76" s="10"/>
      <c r="AA76" s="10"/>
      <c r="AB76" s="10"/>
      <c r="AC76" s="10"/>
      <c r="AD76" s="10"/>
    </row>
    <row r="77" spans="2:30" x14ac:dyDescent="0.3">
      <c r="B77" s="170"/>
      <c r="C77" s="1" t="s">
        <v>191</v>
      </c>
      <c r="D77" s="37">
        <f>D65</f>
        <v>3068.9249607954362</v>
      </c>
      <c r="E77" s="1" t="s">
        <v>75</v>
      </c>
      <c r="H77" s="39">
        <f>$I$18*$G$57*D77+D77*$G$58*$I$20+$I$22*$G$59*D77</f>
        <v>441.09351569016718</v>
      </c>
      <c r="I77" s="39">
        <f>D77*$I$32</f>
        <v>101.58141620232892</v>
      </c>
      <c r="J77" s="82">
        <f>D77*$I$35</f>
        <v>22.403152213806685</v>
      </c>
      <c r="K77" s="82">
        <f>D77*$I$37</f>
        <v>9.2067748823863091</v>
      </c>
      <c r="L77" s="9"/>
      <c r="M77" s="10"/>
      <c r="N77" s="10"/>
      <c r="O77" s="40">
        <f>SUM(G77:M77)</f>
        <v>574.28485898868917</v>
      </c>
      <c r="P77" s="40">
        <f>D77*$G$57*$W$11+$W$12*$G$58*D77+D77*$G$59*$W$13</f>
        <v>1537.8444357045146</v>
      </c>
      <c r="Q77" s="40">
        <f>O77+P77</f>
        <v>2112.1292946932035</v>
      </c>
      <c r="R77" s="38">
        <f>Q77*(1+$S$62)</f>
        <v>2597.9190324726401</v>
      </c>
      <c r="S77" s="42">
        <f>Q77/D77*(1+$S$62)</f>
        <v>0.84652412999999993</v>
      </c>
      <c r="T77" s="83" t="s">
        <v>191</v>
      </c>
      <c r="U77" s="84">
        <f>(H77+I77+J77+K77+P77)*(1+$S$62)</f>
        <v>2597.9190324726401</v>
      </c>
      <c r="Y77" s="9"/>
      <c r="Z77" s="10"/>
      <c r="AA77" s="10"/>
      <c r="AB77" s="10"/>
      <c r="AC77" s="10"/>
      <c r="AD77" s="10"/>
    </row>
    <row r="78" spans="2:30" x14ac:dyDescent="0.3">
      <c r="L78" s="9"/>
      <c r="M78" s="10"/>
      <c r="N78" s="10"/>
      <c r="O78" s="10"/>
      <c r="P78" s="10"/>
      <c r="Q78" s="10"/>
      <c r="Y78" s="9"/>
      <c r="Z78" s="10"/>
      <c r="AA78" s="10"/>
      <c r="AB78" s="10"/>
      <c r="AC78" s="10"/>
      <c r="AD78" s="10"/>
    </row>
    <row r="79" spans="2:30" x14ac:dyDescent="0.3">
      <c r="L79" s="9"/>
      <c r="M79" s="10"/>
      <c r="N79" s="10"/>
      <c r="O79" s="10"/>
      <c r="P79" s="10"/>
      <c r="Q79" s="10"/>
      <c r="Y79" s="9"/>
      <c r="Z79" s="10"/>
      <c r="AA79" s="10"/>
      <c r="AB79" s="10"/>
      <c r="AC79" s="10"/>
      <c r="AD79" s="10"/>
    </row>
    <row r="80" spans="2:30" x14ac:dyDescent="0.3">
      <c r="C80" s="19" t="s">
        <v>192</v>
      </c>
      <c r="L80" s="9"/>
      <c r="M80" s="10"/>
      <c r="N80" s="10"/>
      <c r="O80" s="10"/>
      <c r="P80" s="10"/>
      <c r="Q80" s="10"/>
      <c r="Y80" s="9"/>
      <c r="Z80" s="10"/>
      <c r="AA80" s="10"/>
      <c r="AB80" s="10"/>
      <c r="AC80" s="10"/>
      <c r="AD80" s="10"/>
    </row>
    <row r="81" spans="2:30" x14ac:dyDescent="0.3">
      <c r="G81" s="1" t="str">
        <f>B25</f>
        <v>E(okm)</v>
      </c>
      <c r="H81" s="1" t="str">
        <f>B27</f>
        <v>E(okm)</v>
      </c>
      <c r="I81" s="1">
        <f>B51</f>
        <v>0</v>
      </c>
      <c r="J81" s="1">
        <f>B54</f>
        <v>0</v>
      </c>
      <c r="K81" s="9">
        <f>B56</f>
        <v>0</v>
      </c>
      <c r="L81" s="1">
        <f>B58</f>
        <v>0</v>
      </c>
      <c r="M81" s="10">
        <f>B60</f>
        <v>0</v>
      </c>
      <c r="N81" s="10"/>
      <c r="O81" s="10"/>
      <c r="Q81" s="10" t="s">
        <v>186</v>
      </c>
      <c r="R81" s="1" t="s">
        <v>65</v>
      </c>
      <c r="S81" s="43">
        <v>0.23</v>
      </c>
      <c r="Y81" s="9"/>
      <c r="Z81" s="10"/>
      <c r="AA81" s="10"/>
      <c r="AB81" s="10"/>
      <c r="AC81" s="10"/>
      <c r="AD81" s="10"/>
    </row>
    <row r="82" spans="2:30" x14ac:dyDescent="0.3">
      <c r="B82" s="170" t="s">
        <v>46</v>
      </c>
      <c r="C82" s="1" t="s">
        <v>187</v>
      </c>
      <c r="D82" s="37">
        <f>D83+D84</f>
        <v>7256.8911333145497</v>
      </c>
      <c r="E82" s="1" t="s">
        <v>75</v>
      </c>
      <c r="K82" s="9"/>
      <c r="M82" s="10"/>
      <c r="O82" s="10"/>
      <c r="Q82" s="40">
        <f>Q83+Q84</f>
        <v>6183.7219436918876</v>
      </c>
      <c r="R82" s="38">
        <f>Q82*(1+$S$62)</f>
        <v>7605.977990741022</v>
      </c>
      <c r="S82" s="42">
        <f>Q82/D82*(1+$S$62)</f>
        <v>1.048104188283038</v>
      </c>
      <c r="T82" s="83" t="s">
        <v>188</v>
      </c>
      <c r="U82" s="84">
        <f>(G83+L83+M83)*(1+$S$62)</f>
        <v>583.02</v>
      </c>
      <c r="Y82" s="9"/>
      <c r="Z82" s="10"/>
      <c r="AA82" s="10"/>
      <c r="AB82" s="10"/>
      <c r="AC82" s="10"/>
      <c r="AD82" s="10"/>
    </row>
    <row r="83" spans="2:30" x14ac:dyDescent="0.3">
      <c r="B83" s="170"/>
      <c r="C83" s="1" t="s">
        <v>189</v>
      </c>
      <c r="D83" s="37">
        <f>Budynek!$C$12</f>
        <v>3800</v>
      </c>
      <c r="E83" s="1" t="s">
        <v>75</v>
      </c>
      <c r="G83" s="39">
        <f>$F$6*$F$7</f>
        <v>130.32</v>
      </c>
      <c r="H83" s="39">
        <f>$F$8*D83</f>
        <v>936.32</v>
      </c>
      <c r="I83" s="39">
        <f>$F$32*D83</f>
        <v>125.77999999999999</v>
      </c>
      <c r="J83" s="82">
        <f>$F$35*D83</f>
        <v>27.740000000000002</v>
      </c>
      <c r="K83" s="82">
        <f>$F$37*D83</f>
        <v>11.4</v>
      </c>
      <c r="L83" s="39">
        <f>$F$39*$F$40</f>
        <v>288.95999999999998</v>
      </c>
      <c r="M83" s="39">
        <f>$F$41*$F$42</f>
        <v>54.72</v>
      </c>
      <c r="N83" s="10"/>
      <c r="O83" s="40">
        <f>SUM(G83:M83)</f>
        <v>1575.2400000000002</v>
      </c>
      <c r="P83" s="40">
        <f>D83*$T$6</f>
        <v>1888.6</v>
      </c>
      <c r="Q83" s="40">
        <f>O83+P83</f>
        <v>3463.84</v>
      </c>
      <c r="R83" s="38">
        <f>Q83*(1+$S$62)</f>
        <v>4260.5232000000005</v>
      </c>
      <c r="S83" s="42">
        <f>Q83/D83*(1+$S$62)</f>
        <v>1.1211903157894738</v>
      </c>
      <c r="T83" s="83" t="s">
        <v>190</v>
      </c>
      <c r="U83" s="84">
        <f>(H83+I83+J83+K83+P83)*(1+$S$62)</f>
        <v>3677.5032000000001</v>
      </c>
      <c r="Y83" s="9"/>
      <c r="Z83" s="10"/>
      <c r="AA83" s="10"/>
      <c r="AB83" s="10"/>
      <c r="AC83" s="10"/>
      <c r="AD83" s="10"/>
    </row>
    <row r="84" spans="2:30" x14ac:dyDescent="0.3">
      <c r="B84" s="170"/>
      <c r="C84" s="1" t="s">
        <v>191</v>
      </c>
      <c r="D84" s="37">
        <f>Budynek!C6/Budynek!C14+Budynek!C10/Budynek!D14</f>
        <v>3456.8911333145497</v>
      </c>
      <c r="E84" s="1" t="s">
        <v>75</v>
      </c>
      <c r="H84" s="39">
        <f>D84*$F$8</f>
        <v>851.77797524870505</v>
      </c>
      <c r="I84" s="39">
        <f>$F$32*D84</f>
        <v>114.42309651271158</v>
      </c>
      <c r="J84" s="82">
        <f>$F$35*D84</f>
        <v>25.235305273196214</v>
      </c>
      <c r="K84" s="82">
        <f>$F$37*D84</f>
        <v>10.37067339994365</v>
      </c>
      <c r="L84" s="9"/>
      <c r="M84" s="10"/>
      <c r="N84" s="10"/>
      <c r="O84" s="40">
        <f>SUM(G84:M84)</f>
        <v>1001.8070504345565</v>
      </c>
      <c r="P84" s="40">
        <f>D84*$T$6</f>
        <v>1718.0748932573313</v>
      </c>
      <c r="Q84" s="40">
        <f>O84+P84</f>
        <v>2719.8819436918875</v>
      </c>
      <c r="R84" s="38">
        <f>Q84*(1+$S$62)</f>
        <v>3345.4547907410215</v>
      </c>
      <c r="S84" s="42">
        <f>Q84/D84*(1+$S$62)</f>
        <v>0.96776399999999996</v>
      </c>
      <c r="T84" s="83" t="s">
        <v>191</v>
      </c>
      <c r="U84" s="84">
        <f>(H84+I84+J84+K84+P84)*(1+$S$62)</f>
        <v>3345.4547907410215</v>
      </c>
      <c r="Y84" s="9"/>
      <c r="Z84" s="10"/>
      <c r="AA84" s="10"/>
      <c r="AB84" s="10"/>
      <c r="AC84" s="10"/>
      <c r="AD84" s="10"/>
    </row>
    <row r="85" spans="2:30" x14ac:dyDescent="0.3">
      <c r="L85" s="9"/>
      <c r="M85" s="10"/>
      <c r="N85" s="10"/>
      <c r="O85" s="10"/>
      <c r="P85" s="10"/>
      <c r="Q85" s="10"/>
      <c r="R85" s="38"/>
      <c r="Y85" s="9"/>
      <c r="Z85" s="10"/>
      <c r="AA85" s="10"/>
      <c r="AB85" s="10"/>
      <c r="AC85" s="10"/>
      <c r="AD85" s="10"/>
    </row>
    <row r="86" spans="2:30" x14ac:dyDescent="0.3">
      <c r="B86" s="170" t="s">
        <v>47</v>
      </c>
      <c r="C86" s="1" t="s">
        <v>187</v>
      </c>
      <c r="D86" s="37">
        <f>D87+D88</f>
        <v>7256.8911333145497</v>
      </c>
      <c r="E86" s="1" t="s">
        <v>75</v>
      </c>
      <c r="K86" s="9"/>
      <c r="M86" s="10"/>
      <c r="O86" s="10"/>
      <c r="Q86" s="40">
        <f>Q87+Q88</f>
        <v>5804.0983027850625</v>
      </c>
      <c r="R86" s="38">
        <f>Q86*(1+$S$62)</f>
        <v>7139.0409124256266</v>
      </c>
      <c r="S86" s="42">
        <f>Q86/D86*(1+$S$62)</f>
        <v>0.98376023303589288</v>
      </c>
      <c r="T86" s="83" t="s">
        <v>188</v>
      </c>
      <c r="U86" s="84">
        <f>(G87+L87+M87)*(1+$S$62)</f>
        <v>583.02</v>
      </c>
      <c r="Y86" s="9"/>
    </row>
    <row r="87" spans="2:30" x14ac:dyDescent="0.3">
      <c r="B87" s="170"/>
      <c r="C87" s="1" t="s">
        <v>189</v>
      </c>
      <c r="D87" s="37">
        <f>Budynek!$C$12</f>
        <v>3800</v>
      </c>
      <c r="E87" s="1" t="s">
        <v>75</v>
      </c>
      <c r="G87" s="39">
        <f>$G$6*$G$7</f>
        <v>130.32</v>
      </c>
      <c r="H87" s="39">
        <f>$G$10*D87*$E$55+D87*$E$56*$G$12</f>
        <v>749.91480000000013</v>
      </c>
      <c r="I87" s="39">
        <f>$G$32*D87</f>
        <v>125.77999999999999</v>
      </c>
      <c r="J87" s="82">
        <f>$G$35*D87</f>
        <v>27.740000000000002</v>
      </c>
      <c r="K87" s="82">
        <f>$G$37*D87</f>
        <v>11.4</v>
      </c>
      <c r="L87" s="39">
        <f>$G$39*$G$40</f>
        <v>288.95999999999998</v>
      </c>
      <c r="M87" s="39">
        <f>$G$41*$G$42</f>
        <v>54.72</v>
      </c>
      <c r="N87" s="10"/>
      <c r="O87" s="40">
        <f>SUM(G87:M87)</f>
        <v>1388.8348000000003</v>
      </c>
      <c r="P87" s="40">
        <f>D87*$E$55*$U$9+D87*$E$56*$U$10</f>
        <v>1875.6799999999998</v>
      </c>
      <c r="Q87" s="40">
        <f>O87+P87</f>
        <v>3264.5147999999999</v>
      </c>
      <c r="R87" s="38">
        <f>Q87*(1+$S$62)</f>
        <v>4015.353204</v>
      </c>
      <c r="S87" s="42">
        <f>Q87/D87*(1+$S$62)</f>
        <v>1.0566718957894736</v>
      </c>
      <c r="T87" s="83" t="s">
        <v>190</v>
      </c>
      <c r="U87" s="84">
        <f>(H87+I87+J87+K87+P87)*(1+$S$62)</f>
        <v>3432.333204</v>
      </c>
    </row>
    <row r="88" spans="2:30" x14ac:dyDescent="0.3">
      <c r="B88" s="170"/>
      <c r="C88" s="1" t="s">
        <v>191</v>
      </c>
      <c r="D88" s="37">
        <f>D84</f>
        <v>3456.8911333145497</v>
      </c>
      <c r="E88" s="1" t="s">
        <v>75</v>
      </c>
      <c r="H88" s="39">
        <f>D88*$E$55*$G$10+$G$12*$E$56*D88</f>
        <v>682.20363759509314</v>
      </c>
      <c r="I88" s="39">
        <f>D88*$G$32</f>
        <v>114.42309651271158</v>
      </c>
      <c r="J88" s="82">
        <f>D88*$G$35</f>
        <v>25.235305273196214</v>
      </c>
      <c r="K88" s="82">
        <f>D87*$G$37</f>
        <v>11.4</v>
      </c>
      <c r="L88" s="9"/>
      <c r="M88" s="10"/>
      <c r="N88" s="10"/>
      <c r="O88" s="40">
        <f>SUM(G88:M88)</f>
        <v>833.26203938100093</v>
      </c>
      <c r="P88" s="40">
        <f>D88*$E$55*$U$9+$U$10*$E$56*D88</f>
        <v>1706.3214634040619</v>
      </c>
      <c r="Q88" s="40">
        <f>O88+P88</f>
        <v>2539.5835027850626</v>
      </c>
      <c r="R88" s="38">
        <f>Q88*(1+$S$62)</f>
        <v>3123.6877084256271</v>
      </c>
      <c r="S88" s="42">
        <f>Q88/D88*(1+$S$62)</f>
        <v>0.90361182575933796</v>
      </c>
      <c r="T88" s="83" t="s">
        <v>191</v>
      </c>
      <c r="U88" s="84">
        <f>(H88+I88+J88+K88+P88)*(1+$S$62)</f>
        <v>3123.6877084256271</v>
      </c>
    </row>
    <row r="89" spans="2:30" x14ac:dyDescent="0.3">
      <c r="J89" s="82"/>
      <c r="K89" s="82"/>
      <c r="L89" s="9"/>
      <c r="M89" s="10"/>
      <c r="N89" s="10"/>
      <c r="O89" s="10"/>
      <c r="P89" s="10"/>
      <c r="Q89" s="10"/>
      <c r="R89" s="38"/>
      <c r="Y89" s="9"/>
      <c r="Z89" s="10"/>
      <c r="AA89" s="10"/>
      <c r="AB89" s="10"/>
      <c r="AC89" s="10"/>
      <c r="AD89" s="10"/>
    </row>
    <row r="90" spans="2:30" x14ac:dyDescent="0.3">
      <c r="B90" s="170" t="s">
        <v>48</v>
      </c>
      <c r="C90" s="1" t="s">
        <v>187</v>
      </c>
      <c r="D90" s="37">
        <f>D91+D92</f>
        <v>7256.8911333145497</v>
      </c>
      <c r="E90" s="1" t="s">
        <v>75</v>
      </c>
      <c r="J90" s="82"/>
      <c r="K90" s="82"/>
      <c r="O90" s="10"/>
      <c r="Q90" s="40">
        <f>Q91+Q92</f>
        <v>5608.366587078177</v>
      </c>
      <c r="R90" s="38">
        <f>Q90*(1+$S$62)</f>
        <v>6898.2909021061578</v>
      </c>
      <c r="S90" s="42">
        <f>Q90/D90*(1+$S$62)</f>
        <v>0.95058486828303801</v>
      </c>
      <c r="T90" s="83" t="s">
        <v>188</v>
      </c>
      <c r="U90" s="84">
        <f>(G91+L91+M91)*(1+$S$62)</f>
        <v>583.02</v>
      </c>
      <c r="Y90" s="9"/>
      <c r="Z90" s="10"/>
      <c r="AA90" s="10"/>
      <c r="AB90" s="10"/>
      <c r="AC90" s="10"/>
      <c r="AD90" s="10"/>
    </row>
    <row r="91" spans="2:30" x14ac:dyDescent="0.3">
      <c r="B91" s="170"/>
      <c r="C91" s="1" t="s">
        <v>189</v>
      </c>
      <c r="D91" s="37">
        <f>Budynek!$C$12</f>
        <v>3800</v>
      </c>
      <c r="E91" s="1" t="s">
        <v>75</v>
      </c>
      <c r="G91" s="39">
        <f>$H$6*$H$7</f>
        <v>130.32</v>
      </c>
      <c r="H91" s="39">
        <f>$H$14*$F$53*D91+D91*$H$16*$F$54</f>
        <v>628.61879999999985</v>
      </c>
      <c r="I91" s="39">
        <f>$H$32*D91</f>
        <v>125.77999999999999</v>
      </c>
      <c r="J91" s="82">
        <f>$H$35*D91</f>
        <v>27.740000000000002</v>
      </c>
      <c r="K91" s="82">
        <f>$H$37*D91</f>
        <v>11.4</v>
      </c>
      <c r="L91" s="39">
        <f>$H$39*$H$40</f>
        <v>288.95999999999998</v>
      </c>
      <c r="M91" s="39">
        <f>$H$41*$H$42</f>
        <v>54.72</v>
      </c>
      <c r="N91" s="10"/>
      <c r="O91" s="40">
        <f>SUM(G91:M91)</f>
        <v>1267.5387999999998</v>
      </c>
      <c r="P91" s="40">
        <f>D91*$F$53*$V$7+D91*$F$54*$V$8</f>
        <v>1895.0219999999999</v>
      </c>
      <c r="Q91" s="40">
        <f>O91+P91</f>
        <v>3162.5607999999997</v>
      </c>
      <c r="R91" s="38">
        <f>Q91*(1+$S$62)</f>
        <v>3889.9497839999995</v>
      </c>
      <c r="S91" s="42">
        <f>Q91/D91*(1+$S$62)</f>
        <v>1.0236709957894736</v>
      </c>
      <c r="T91" s="83" t="s">
        <v>190</v>
      </c>
      <c r="U91" s="84">
        <f>(H91+I91+J91+K91+P91)*(1+$S$62)</f>
        <v>3306.9297839999995</v>
      </c>
      <c r="Y91" s="9"/>
      <c r="Z91" s="10"/>
      <c r="AA91" s="10"/>
      <c r="AB91" s="10"/>
      <c r="AC91" s="10"/>
      <c r="AD91" s="10"/>
    </row>
    <row r="92" spans="2:30" x14ac:dyDescent="0.3">
      <c r="B92" s="170"/>
      <c r="C92" s="1" t="s">
        <v>191</v>
      </c>
      <c r="D92" s="37">
        <f>D84</f>
        <v>3456.8911333145497</v>
      </c>
      <c r="E92" s="1" t="s">
        <v>75</v>
      </c>
      <c r="H92" s="39">
        <f>$H$14*$F$53*D92+$H$16*$F$54*D92</f>
        <v>571.85967261969256</v>
      </c>
      <c r="I92" s="39">
        <f>$H$32*D92</f>
        <v>114.42309651271158</v>
      </c>
      <c r="J92" s="82">
        <f>$H$35*D92</f>
        <v>25.235305273196214</v>
      </c>
      <c r="K92" s="82">
        <f>$H$37*D92</f>
        <v>10.37067339994365</v>
      </c>
      <c r="L92" s="9"/>
      <c r="M92" s="10"/>
      <c r="N92" s="10"/>
      <c r="O92" s="40">
        <f>SUM(G92:M92)</f>
        <v>721.88874780554397</v>
      </c>
      <c r="P92" s="40">
        <f>D92*$F$53*$V$7+D92*$F$54*$V$8</f>
        <v>1723.9170392726326</v>
      </c>
      <c r="Q92" s="40">
        <f>O92+P92</f>
        <v>2445.8057870781768</v>
      </c>
      <c r="R92" s="38">
        <f>Q92*(1+$S$62)</f>
        <v>3008.3411181061574</v>
      </c>
      <c r="S92" s="42">
        <f>Q92/D92*(1+$S$62)</f>
        <v>0.87024467999999988</v>
      </c>
      <c r="T92" s="83" t="s">
        <v>191</v>
      </c>
      <c r="U92" s="84">
        <f>(H92+I92+J92+K92+P92)*(1+$S$62)</f>
        <v>3008.3411181061574</v>
      </c>
      <c r="Y92" s="9"/>
      <c r="Z92" s="10"/>
      <c r="AA92" s="10"/>
      <c r="AB92" s="10"/>
      <c r="AC92" s="10"/>
      <c r="AD92" s="10"/>
    </row>
    <row r="93" spans="2:30" x14ac:dyDescent="0.3">
      <c r="J93" s="82"/>
      <c r="K93" s="82"/>
      <c r="L93" s="9"/>
      <c r="M93" s="10"/>
      <c r="N93" s="10"/>
      <c r="O93" s="10"/>
      <c r="P93" s="10"/>
      <c r="Q93" s="10"/>
      <c r="Y93" s="9"/>
      <c r="Z93" s="10"/>
      <c r="AA93" s="10"/>
      <c r="AB93" s="10"/>
      <c r="AC93" s="10"/>
      <c r="AD93" s="10"/>
    </row>
    <row r="94" spans="2:30" x14ac:dyDescent="0.3">
      <c r="B94" s="170" t="s">
        <v>111</v>
      </c>
      <c r="C94" s="1" t="s">
        <v>187</v>
      </c>
      <c r="D94" s="37">
        <f>D95+D96</f>
        <v>7256.8911333145497</v>
      </c>
      <c r="E94" s="1" t="s">
        <v>75</v>
      </c>
      <c r="J94" s="82"/>
      <c r="K94" s="82"/>
      <c r="O94" s="10"/>
      <c r="Q94" s="40">
        <f>Q95+Q96</f>
        <v>5468.4174415722055</v>
      </c>
      <c r="R94" s="38">
        <f>Q94*(1+$S$62)</f>
        <v>6726.1534531338129</v>
      </c>
      <c r="S94" s="42">
        <f>Q94/D94*(1+$S$62)</f>
        <v>0.92686431828303795</v>
      </c>
      <c r="T94" s="83" t="s">
        <v>188</v>
      </c>
      <c r="U94" s="84">
        <f>(G95+L95+M95)*(1+$S$62)</f>
        <v>583.02</v>
      </c>
      <c r="Y94" s="9"/>
      <c r="Z94" s="10"/>
      <c r="AA94" s="10"/>
      <c r="AB94" s="10"/>
      <c r="AC94" s="10"/>
      <c r="AD94" s="10"/>
    </row>
    <row r="95" spans="2:30" x14ac:dyDescent="0.3">
      <c r="B95" s="170"/>
      <c r="C95" s="1" t="s">
        <v>189</v>
      </c>
      <c r="D95" s="37">
        <f>Budynek!$C$12</f>
        <v>3800</v>
      </c>
      <c r="E95" s="1" t="s">
        <v>75</v>
      </c>
      <c r="G95" s="39">
        <f>$I$6*$I$7</f>
        <v>130.32</v>
      </c>
      <c r="H95" s="39">
        <f>$I$18*$G$57*D95+D95*$G$58*$I$20+$I$22*$G$59*D95</f>
        <v>546.17020000000002</v>
      </c>
      <c r="I95" s="39">
        <f>$I$32*D95</f>
        <v>125.77999999999999</v>
      </c>
      <c r="J95" s="82">
        <f>D95*$I$35</f>
        <v>27.740000000000002</v>
      </c>
      <c r="K95" s="82">
        <f>$I$37*D95</f>
        <v>11.4</v>
      </c>
      <c r="L95" s="39">
        <f>$I$39*$I$40</f>
        <v>288.95999999999998</v>
      </c>
      <c r="M95" s="39">
        <f>$I$41*$I$42</f>
        <v>54.72</v>
      </c>
      <c r="N95" s="10"/>
      <c r="O95" s="40">
        <f>SUM(G95:M95)</f>
        <v>1185.0901999999999</v>
      </c>
      <c r="P95" s="40">
        <f>D95*$G$57*$W$11+$W$12*$G$58*D95+D95*$G$59*$W$13</f>
        <v>1904.1876</v>
      </c>
      <c r="Q95" s="40">
        <f>O95+P95</f>
        <v>3089.2777999999998</v>
      </c>
      <c r="R95" s="38">
        <f>Q95*(1+$S$62)</f>
        <v>3799.8116939999995</v>
      </c>
      <c r="S95" s="42">
        <f>Q95/D95*(1+$S$62)</f>
        <v>0.99995044578947356</v>
      </c>
      <c r="T95" s="83" t="s">
        <v>190</v>
      </c>
      <c r="U95" s="84">
        <f>(H95+I95+J95+K95+P95)*(1+$S$62)</f>
        <v>3216.7916939999996</v>
      </c>
      <c r="Y95" s="9"/>
      <c r="Z95" s="10"/>
      <c r="AA95" s="10"/>
      <c r="AB95" s="10"/>
      <c r="AC95" s="10"/>
      <c r="AD95" s="10"/>
    </row>
    <row r="96" spans="2:30" x14ac:dyDescent="0.3">
      <c r="B96" s="170"/>
      <c r="C96" s="1" t="s">
        <v>191</v>
      </c>
      <c r="D96" s="37">
        <f>D84</f>
        <v>3456.8911333145497</v>
      </c>
      <c r="E96" s="1" t="s">
        <v>75</v>
      </c>
      <c r="H96" s="39">
        <f>$I$18*$G$57*D96+D96*$G$58*$I$20+$I$22*$G$59*D96</f>
        <v>496.85550570016693</v>
      </c>
      <c r="I96" s="39">
        <f>D96*$I$32</f>
        <v>114.42309651271158</v>
      </c>
      <c r="J96" s="82">
        <f>D96*$I$35</f>
        <v>25.235305273196214</v>
      </c>
      <c r="K96" s="82">
        <f>D96*$I$37</f>
        <v>10.37067339994365</v>
      </c>
      <c r="L96" s="9"/>
      <c r="M96" s="10"/>
      <c r="N96" s="10"/>
      <c r="O96" s="40">
        <f>SUM(G96:M96)</f>
        <v>646.88458088601828</v>
      </c>
      <c r="P96" s="40">
        <f>D96*$G$57*$W$11+$W$12*$G$58*D96+D96*$G$59*$W$13</f>
        <v>1732.2550606861873</v>
      </c>
      <c r="Q96" s="40">
        <f>O96+P96</f>
        <v>2379.1396415722056</v>
      </c>
      <c r="R96" s="38">
        <f>Q96*(1+$S$62)</f>
        <v>2926.341759133813</v>
      </c>
      <c r="S96" s="42">
        <f>Q96/D96*(1+$S$62)</f>
        <v>0.84652412999999993</v>
      </c>
      <c r="T96" s="83" t="s">
        <v>191</v>
      </c>
      <c r="U96" s="84">
        <f>(H96+I96+J96+K96+P96)*(1+$S$62)</f>
        <v>2926.341759133813</v>
      </c>
      <c r="Y96" s="9"/>
      <c r="Z96" s="10"/>
      <c r="AA96" s="10"/>
      <c r="AB96" s="10"/>
      <c r="AC96" s="10"/>
      <c r="AD96" s="10"/>
    </row>
    <row r="97" spans="4:30" x14ac:dyDescent="0.3">
      <c r="D97" s="40"/>
      <c r="L97" s="9"/>
      <c r="M97" s="10"/>
      <c r="N97" s="10"/>
      <c r="O97" s="10"/>
      <c r="P97" s="10"/>
      <c r="Q97" s="10"/>
      <c r="Y97" s="9"/>
      <c r="Z97" s="10"/>
      <c r="AA97" s="10"/>
      <c r="AB97" s="10"/>
      <c r="AC97" s="10"/>
      <c r="AD97" s="10"/>
    </row>
    <row r="98" spans="4:30" x14ac:dyDescent="0.3">
      <c r="L98" s="9"/>
      <c r="M98" s="10"/>
      <c r="N98" s="10"/>
      <c r="O98" s="10"/>
      <c r="P98" s="10"/>
      <c r="Q98" s="10"/>
      <c r="Y98" s="9"/>
      <c r="Z98" s="10"/>
      <c r="AA98" s="10"/>
      <c r="AB98" s="10"/>
      <c r="AC98" s="10"/>
      <c r="AD98" s="10"/>
    </row>
    <row r="99" spans="4:30" x14ac:dyDescent="0.3">
      <c r="L99" s="9"/>
      <c r="M99" s="10"/>
      <c r="N99" s="10"/>
      <c r="O99" s="10"/>
      <c r="P99" s="10"/>
      <c r="Q99" s="10"/>
      <c r="Y99" s="9"/>
      <c r="Z99" s="10"/>
      <c r="AA99" s="10"/>
      <c r="AB99" s="10"/>
      <c r="AC99" s="10"/>
      <c r="AD99" s="10"/>
    </row>
    <row r="100" spans="4:30" x14ac:dyDescent="0.3">
      <c r="L100" s="9"/>
      <c r="M100" s="10"/>
      <c r="N100" s="10"/>
      <c r="O100" s="10"/>
      <c r="P100" s="10"/>
      <c r="Q100" s="10"/>
      <c r="Y100" s="9"/>
      <c r="Z100" s="10"/>
      <c r="AA100" s="10"/>
      <c r="AB100" s="10"/>
      <c r="AC100" s="10"/>
      <c r="AD100" s="10"/>
    </row>
    <row r="101" spans="4:30" x14ac:dyDescent="0.3">
      <c r="L101" s="9"/>
      <c r="M101" s="10"/>
      <c r="N101" s="10"/>
      <c r="O101" s="10"/>
      <c r="P101" s="10"/>
      <c r="Q101" s="10"/>
      <c r="Y101" s="9"/>
      <c r="Z101" s="10"/>
      <c r="AA101" s="10"/>
      <c r="AB101" s="10"/>
      <c r="AC101" s="10"/>
      <c r="AD101" s="10"/>
    </row>
    <row r="102" spans="4:30" x14ac:dyDescent="0.3">
      <c r="L102" s="9"/>
      <c r="M102" s="10"/>
      <c r="N102" s="10"/>
      <c r="O102" s="10"/>
      <c r="P102" s="10"/>
      <c r="Q102" s="10"/>
      <c r="Y102" s="9"/>
      <c r="Z102" s="10"/>
      <c r="AA102" s="10"/>
      <c r="AB102" s="10"/>
      <c r="AC102" s="10"/>
      <c r="AD102" s="10"/>
    </row>
    <row r="103" spans="4:30" x14ac:dyDescent="0.3">
      <c r="L103" s="9"/>
      <c r="M103" s="10"/>
      <c r="N103" s="10"/>
      <c r="O103" s="10"/>
      <c r="P103" s="10"/>
      <c r="Q103" s="10"/>
      <c r="Y103" s="9"/>
      <c r="Z103" s="10"/>
      <c r="AA103" s="10"/>
      <c r="AB103" s="10"/>
      <c r="AC103" s="10"/>
      <c r="AD103" s="10"/>
    </row>
    <row r="104" spans="4:30" x14ac:dyDescent="0.3">
      <c r="L104" s="9"/>
      <c r="M104" s="10"/>
      <c r="N104" s="10"/>
      <c r="O104" s="10"/>
      <c r="P104" s="10"/>
      <c r="Q104" s="10"/>
      <c r="Y104" s="9"/>
      <c r="Z104" s="10"/>
      <c r="AA104" s="10"/>
      <c r="AB104" s="10"/>
      <c r="AC104" s="10"/>
      <c r="AD104" s="10"/>
    </row>
    <row r="105" spans="4:30" x14ac:dyDescent="0.3">
      <c r="L105" s="9"/>
      <c r="M105" s="10"/>
      <c r="N105" s="10"/>
      <c r="O105" s="10"/>
      <c r="P105" s="10"/>
      <c r="Q105" s="10"/>
      <c r="Y105" s="9"/>
      <c r="Z105" s="10"/>
      <c r="AA105" s="10"/>
      <c r="AB105" s="10"/>
      <c r="AC105" s="10"/>
      <c r="AD105" s="10"/>
    </row>
    <row r="106" spans="4:30" x14ac:dyDescent="0.3">
      <c r="L106" s="9"/>
      <c r="M106" s="10"/>
      <c r="N106" s="10"/>
      <c r="O106" s="10"/>
      <c r="P106" s="10"/>
      <c r="Q106" s="10"/>
      <c r="Y106" s="9"/>
      <c r="Z106" s="10"/>
      <c r="AA106" s="10"/>
      <c r="AB106" s="10"/>
      <c r="AC106" s="10"/>
      <c r="AD106" s="10"/>
    </row>
    <row r="107" spans="4:30" x14ac:dyDescent="0.3">
      <c r="L107" s="9"/>
      <c r="M107" s="10"/>
      <c r="N107" s="10"/>
      <c r="O107" s="10"/>
      <c r="P107" s="10"/>
      <c r="Q107" s="10"/>
      <c r="Y107" s="9"/>
      <c r="Z107" s="10"/>
      <c r="AA107" s="10"/>
      <c r="AB107" s="10"/>
      <c r="AC107" s="10"/>
      <c r="AD107" s="10"/>
    </row>
    <row r="108" spans="4:30" x14ac:dyDescent="0.3">
      <c r="L108" s="9"/>
      <c r="M108" s="10"/>
      <c r="N108" s="10"/>
      <c r="O108" s="10"/>
      <c r="P108" s="10"/>
      <c r="Q108" s="10"/>
      <c r="Y108" s="9"/>
      <c r="Z108" s="10"/>
      <c r="AA108" s="10"/>
      <c r="AB108" s="10"/>
      <c r="AC108" s="10"/>
      <c r="AD108" s="10"/>
    </row>
    <row r="109" spans="4:30" x14ac:dyDescent="0.3">
      <c r="L109" s="9"/>
      <c r="M109" s="10"/>
      <c r="N109" s="10"/>
      <c r="O109" s="10"/>
      <c r="P109" s="10"/>
      <c r="Q109" s="10"/>
      <c r="Y109" s="9"/>
      <c r="Z109" s="10"/>
      <c r="AA109" s="10"/>
      <c r="AB109" s="10"/>
      <c r="AC109" s="10"/>
      <c r="AD109" s="10"/>
    </row>
    <row r="110" spans="4:30" x14ac:dyDescent="0.3">
      <c r="L110" s="9"/>
      <c r="M110" s="10"/>
      <c r="N110" s="10"/>
      <c r="O110" s="10"/>
      <c r="P110" s="10"/>
      <c r="Q110" s="10"/>
      <c r="Y110" s="9"/>
      <c r="Z110" s="10"/>
      <c r="AA110" s="10"/>
      <c r="AB110" s="10"/>
      <c r="AC110" s="10"/>
      <c r="AD110" s="10"/>
    </row>
    <row r="111" spans="4:30" x14ac:dyDescent="0.3">
      <c r="L111" s="9"/>
      <c r="M111" s="10"/>
      <c r="N111" s="10"/>
      <c r="O111" s="10"/>
      <c r="P111" s="10"/>
      <c r="Q111" s="10"/>
      <c r="Y111" s="9"/>
      <c r="Z111" s="10"/>
      <c r="AA111" s="10"/>
      <c r="AB111" s="10"/>
      <c r="AC111" s="10"/>
      <c r="AD111" s="10"/>
    </row>
    <row r="112" spans="4:30" x14ac:dyDescent="0.3">
      <c r="L112" s="9"/>
      <c r="M112" s="10"/>
      <c r="N112" s="10"/>
      <c r="O112" s="10"/>
      <c r="P112" s="10"/>
      <c r="Q112" s="10"/>
      <c r="Y112" s="9"/>
      <c r="Z112" s="10"/>
      <c r="AA112" s="10"/>
      <c r="AB112" s="10"/>
      <c r="AC112" s="10"/>
      <c r="AD112" s="10"/>
    </row>
    <row r="113" spans="12:30" x14ac:dyDescent="0.3">
      <c r="L113" s="9"/>
      <c r="Y113" s="9"/>
    </row>
    <row r="116" spans="12:30" x14ac:dyDescent="0.3">
      <c r="L116" s="9"/>
      <c r="M116" s="10"/>
      <c r="N116" s="10"/>
      <c r="O116" s="10"/>
      <c r="P116" s="10"/>
      <c r="Q116" s="10"/>
      <c r="Y116" s="9"/>
      <c r="Z116" s="10"/>
      <c r="AA116" s="10"/>
      <c r="AB116" s="10"/>
      <c r="AC116" s="10"/>
      <c r="AD116" s="10"/>
    </row>
    <row r="117" spans="12:30" x14ac:dyDescent="0.3">
      <c r="L117" s="9"/>
      <c r="M117" s="10"/>
      <c r="N117" s="10"/>
      <c r="O117" s="10"/>
      <c r="P117" s="10"/>
      <c r="Q117" s="10"/>
      <c r="Y117" s="9"/>
      <c r="Z117" s="10"/>
      <c r="AA117" s="10"/>
      <c r="AB117" s="10"/>
      <c r="AC117" s="10"/>
      <c r="AD117" s="10"/>
    </row>
    <row r="118" spans="12:30" x14ac:dyDescent="0.3">
      <c r="L118" s="9"/>
      <c r="M118" s="10"/>
      <c r="N118" s="10"/>
      <c r="O118" s="10"/>
      <c r="P118" s="10"/>
      <c r="Q118" s="10"/>
      <c r="Y118" s="9"/>
      <c r="Z118" s="10"/>
      <c r="AA118" s="10"/>
      <c r="AB118" s="10"/>
      <c r="AC118" s="10"/>
      <c r="AD118" s="10"/>
    </row>
    <row r="119" spans="12:30" x14ac:dyDescent="0.3">
      <c r="L119" s="9"/>
      <c r="M119" s="10"/>
      <c r="N119" s="10"/>
      <c r="O119" s="10"/>
      <c r="P119" s="10"/>
      <c r="Q119" s="10"/>
      <c r="Y119" s="9"/>
      <c r="Z119" s="10"/>
      <c r="AA119" s="10"/>
      <c r="AB119" s="10"/>
      <c r="AC119" s="10"/>
      <c r="AD119" s="10"/>
    </row>
    <row r="120" spans="12:30" x14ac:dyDescent="0.3">
      <c r="L120" s="9"/>
      <c r="M120" s="10"/>
      <c r="N120" s="10"/>
      <c r="O120" s="10"/>
      <c r="P120" s="10"/>
      <c r="Q120" s="10"/>
      <c r="Y120" s="9"/>
      <c r="Z120" s="10"/>
      <c r="AA120" s="10"/>
      <c r="AB120" s="10"/>
      <c r="AC120" s="10"/>
      <c r="AD120" s="10"/>
    </row>
    <row r="121" spans="12:30" x14ac:dyDescent="0.3">
      <c r="L121" s="9"/>
      <c r="M121" s="10"/>
      <c r="N121" s="10"/>
      <c r="O121" s="10"/>
      <c r="P121" s="10"/>
      <c r="Q121" s="10"/>
      <c r="Y121" s="9"/>
      <c r="Z121" s="10"/>
      <c r="AA121" s="10"/>
      <c r="AB121" s="10"/>
      <c r="AC121" s="10"/>
      <c r="AD121" s="10"/>
    </row>
    <row r="122" spans="12:30" x14ac:dyDescent="0.3">
      <c r="L122" s="9"/>
      <c r="M122" s="10"/>
      <c r="N122" s="10"/>
      <c r="O122" s="10"/>
      <c r="P122" s="10"/>
      <c r="Q122" s="10"/>
      <c r="Y122" s="9"/>
      <c r="Z122" s="10"/>
      <c r="AA122" s="10"/>
      <c r="AB122" s="10"/>
      <c r="AC122" s="10"/>
      <c r="AD122" s="10"/>
    </row>
    <row r="123" spans="12:30" x14ac:dyDescent="0.3">
      <c r="L123" s="9"/>
      <c r="M123" s="10"/>
      <c r="N123" s="10"/>
      <c r="O123" s="10"/>
      <c r="P123" s="10"/>
      <c r="Q123" s="10"/>
      <c r="Y123" s="9"/>
      <c r="Z123" s="10"/>
      <c r="AA123" s="10"/>
      <c r="AB123" s="10"/>
      <c r="AC123" s="10"/>
      <c r="AD123" s="10"/>
    </row>
    <row r="124" spans="12:30" x14ac:dyDescent="0.3">
      <c r="L124" s="9"/>
      <c r="M124" s="10"/>
      <c r="N124" s="10"/>
      <c r="O124" s="10"/>
      <c r="P124" s="10"/>
      <c r="Q124" s="10"/>
      <c r="Y124" s="9"/>
      <c r="Z124" s="10"/>
      <c r="AA124" s="10"/>
      <c r="AB124" s="10"/>
      <c r="AC124" s="10"/>
      <c r="AD124" s="10"/>
    </row>
    <row r="125" spans="12:30" x14ac:dyDescent="0.3">
      <c r="L125" s="9"/>
      <c r="M125" s="10"/>
      <c r="N125" s="10"/>
      <c r="O125" s="10"/>
      <c r="P125" s="10"/>
      <c r="Q125" s="10"/>
      <c r="Y125" s="9"/>
      <c r="Z125" s="10"/>
      <c r="AA125" s="10"/>
      <c r="AB125" s="10"/>
      <c r="AC125" s="10"/>
      <c r="AD125" s="10"/>
    </row>
    <row r="126" spans="12:30" x14ac:dyDescent="0.3">
      <c r="L126" s="9"/>
      <c r="M126" s="10"/>
      <c r="N126" s="10"/>
      <c r="O126" s="10"/>
      <c r="P126" s="10"/>
      <c r="Q126" s="10"/>
      <c r="Y126" s="9"/>
      <c r="Z126" s="10"/>
      <c r="AA126" s="10"/>
      <c r="AB126" s="10"/>
      <c r="AC126" s="10"/>
      <c r="AD126" s="10"/>
    </row>
    <row r="127" spans="12:30" x14ac:dyDescent="0.3">
      <c r="L127" s="9"/>
      <c r="M127" s="10"/>
      <c r="N127" s="10"/>
      <c r="O127" s="10"/>
      <c r="P127" s="10"/>
      <c r="Q127" s="10"/>
      <c r="Y127" s="9"/>
      <c r="Z127" s="10"/>
      <c r="AA127" s="10"/>
      <c r="AB127" s="10"/>
      <c r="AC127" s="10"/>
      <c r="AD127" s="10"/>
    </row>
    <row r="128" spans="12:30" x14ac:dyDescent="0.3">
      <c r="L128" s="9"/>
      <c r="M128" s="10"/>
      <c r="N128" s="10"/>
      <c r="O128" s="10"/>
      <c r="P128" s="10"/>
      <c r="Q128" s="10"/>
      <c r="Y128" s="9"/>
      <c r="Z128" s="10"/>
      <c r="AA128" s="10"/>
      <c r="AB128" s="10"/>
      <c r="AC128" s="10"/>
      <c r="AD128" s="10"/>
    </row>
    <row r="129" spans="12:30" x14ac:dyDescent="0.3">
      <c r="L129" s="9"/>
      <c r="M129" s="10"/>
      <c r="N129" s="10"/>
      <c r="O129" s="10"/>
      <c r="P129" s="10"/>
      <c r="Q129" s="10"/>
      <c r="Y129" s="9"/>
      <c r="Z129" s="10"/>
      <c r="AA129" s="10"/>
      <c r="AB129" s="10"/>
      <c r="AC129" s="10"/>
      <c r="AD129" s="10"/>
    </row>
    <row r="130" spans="12:30" x14ac:dyDescent="0.3">
      <c r="L130" s="9"/>
      <c r="M130" s="10"/>
      <c r="N130" s="10"/>
      <c r="O130" s="10"/>
      <c r="P130" s="10"/>
      <c r="Q130" s="10"/>
      <c r="Y130" s="9"/>
      <c r="Z130" s="10"/>
      <c r="AA130" s="10"/>
      <c r="AB130" s="10"/>
      <c r="AC130" s="10"/>
      <c r="AD130" s="10"/>
    </row>
    <row r="131" spans="12:30" x14ac:dyDescent="0.3">
      <c r="L131" s="9"/>
      <c r="M131" s="10"/>
      <c r="N131" s="10"/>
      <c r="O131" s="10"/>
      <c r="P131" s="10"/>
      <c r="Q131" s="10"/>
      <c r="Y131" s="9"/>
      <c r="Z131" s="10"/>
      <c r="AA131" s="10"/>
      <c r="AB131" s="10"/>
      <c r="AC131" s="10"/>
      <c r="AD131" s="10"/>
    </row>
    <row r="132" spans="12:30" x14ac:dyDescent="0.3">
      <c r="L132" s="9"/>
      <c r="M132" s="10"/>
      <c r="N132" s="10"/>
      <c r="O132" s="10"/>
      <c r="P132" s="10"/>
      <c r="Q132" s="10"/>
      <c r="Y132" s="9"/>
      <c r="Z132" s="10"/>
      <c r="AA132" s="10"/>
      <c r="AB132" s="10"/>
      <c r="AC132" s="10"/>
      <c r="AD132" s="10"/>
    </row>
    <row r="133" spans="12:30" x14ac:dyDescent="0.3">
      <c r="L133" s="9"/>
      <c r="M133" s="10"/>
      <c r="N133" s="10"/>
      <c r="O133" s="10"/>
      <c r="P133" s="10"/>
      <c r="Q133" s="10"/>
      <c r="Y133" s="9"/>
      <c r="Z133" s="10"/>
      <c r="AA133" s="10"/>
      <c r="AB133" s="10"/>
      <c r="AC133" s="10"/>
      <c r="AD133" s="10"/>
    </row>
    <row r="134" spans="12:30" x14ac:dyDescent="0.3">
      <c r="L134" s="9"/>
      <c r="M134" s="10"/>
      <c r="N134" s="10"/>
      <c r="O134" s="10"/>
      <c r="P134" s="10"/>
      <c r="Q134" s="10"/>
      <c r="Y134" s="9"/>
      <c r="Z134" s="10"/>
      <c r="AA134" s="10"/>
      <c r="AB134" s="10"/>
      <c r="AC134" s="10"/>
      <c r="AD134" s="10"/>
    </row>
    <row r="135" spans="12:30" x14ac:dyDescent="0.3">
      <c r="L135" s="9"/>
      <c r="M135" s="10"/>
      <c r="N135" s="10"/>
      <c r="O135" s="10"/>
      <c r="P135" s="10"/>
      <c r="Q135" s="10"/>
      <c r="Y135" s="9"/>
      <c r="Z135" s="10"/>
      <c r="AA135" s="10"/>
      <c r="AB135" s="10"/>
      <c r="AC135" s="10"/>
      <c r="AD135" s="10"/>
    </row>
    <row r="136" spans="12:30" x14ac:dyDescent="0.3">
      <c r="L136" s="9"/>
      <c r="M136" s="10"/>
      <c r="N136" s="10"/>
      <c r="O136" s="10"/>
      <c r="P136" s="10"/>
      <c r="Q136" s="10"/>
      <c r="Y136" s="9"/>
      <c r="Z136" s="10"/>
      <c r="AA136" s="10"/>
      <c r="AB136" s="10"/>
      <c r="AC136" s="10"/>
      <c r="AD136" s="10"/>
    </row>
    <row r="137" spans="12:30" x14ac:dyDescent="0.3">
      <c r="L137" s="9"/>
      <c r="M137" s="10"/>
      <c r="N137" s="10"/>
      <c r="O137" s="10"/>
      <c r="P137" s="10"/>
      <c r="Q137" s="10"/>
      <c r="Y137" s="9"/>
      <c r="Z137" s="10"/>
      <c r="AA137" s="10"/>
      <c r="AB137" s="10"/>
      <c r="AC137" s="10"/>
      <c r="AD137" s="10"/>
    </row>
    <row r="138" spans="12:30" x14ac:dyDescent="0.3">
      <c r="L138" s="9"/>
      <c r="M138" s="10"/>
      <c r="N138" s="10"/>
      <c r="O138" s="10"/>
      <c r="P138" s="10"/>
      <c r="Q138" s="10"/>
      <c r="Y138" s="9"/>
      <c r="Z138" s="10"/>
      <c r="AA138" s="10"/>
      <c r="AB138" s="10"/>
      <c r="AC138" s="10"/>
      <c r="AD138" s="10"/>
    </row>
    <row r="139" spans="12:30" x14ac:dyDescent="0.3">
      <c r="L139" s="9"/>
      <c r="M139" s="10"/>
      <c r="N139" s="10"/>
      <c r="O139" s="10"/>
      <c r="P139" s="10"/>
      <c r="Q139" s="10"/>
      <c r="Y139" s="9"/>
      <c r="Z139" s="10"/>
      <c r="AA139" s="10"/>
      <c r="AB139" s="10"/>
      <c r="AC139" s="10"/>
      <c r="AD139" s="10"/>
    </row>
    <row r="140" spans="12:30" x14ac:dyDescent="0.3">
      <c r="L140" s="9"/>
      <c r="Y140" s="9"/>
    </row>
    <row r="143" spans="12:30" x14ac:dyDescent="0.3">
      <c r="L143" s="9"/>
      <c r="M143" s="10"/>
      <c r="N143" s="10"/>
      <c r="O143" s="10"/>
      <c r="P143" s="10"/>
      <c r="Q143" s="10"/>
      <c r="Y143" s="9"/>
      <c r="Z143" s="10"/>
      <c r="AA143" s="10"/>
      <c r="AB143" s="10"/>
      <c r="AC143" s="10"/>
      <c r="AD143" s="10"/>
    </row>
    <row r="144" spans="12:30" x14ac:dyDescent="0.3">
      <c r="L144" s="9"/>
      <c r="M144" s="10"/>
      <c r="N144" s="10"/>
      <c r="O144" s="10"/>
      <c r="P144" s="10"/>
      <c r="Q144" s="10"/>
      <c r="Y144" s="9"/>
      <c r="Z144" s="10"/>
      <c r="AA144" s="10"/>
      <c r="AB144" s="10"/>
      <c r="AC144" s="10"/>
      <c r="AD144" s="10"/>
    </row>
    <row r="145" spans="12:30" x14ac:dyDescent="0.3">
      <c r="L145" s="9"/>
      <c r="M145" s="10"/>
      <c r="N145" s="10"/>
      <c r="O145" s="10"/>
      <c r="P145" s="10"/>
      <c r="Q145" s="10"/>
      <c r="Y145" s="9"/>
      <c r="Z145" s="10"/>
      <c r="AA145" s="10"/>
      <c r="AB145" s="10"/>
      <c r="AC145" s="10"/>
      <c r="AD145" s="10"/>
    </row>
    <row r="146" spans="12:30" x14ac:dyDescent="0.3">
      <c r="L146" s="9"/>
      <c r="M146" s="10"/>
      <c r="N146" s="10"/>
      <c r="O146" s="10"/>
      <c r="P146" s="10"/>
      <c r="Q146" s="10"/>
      <c r="Y146" s="9"/>
      <c r="Z146" s="10"/>
      <c r="AA146" s="10"/>
      <c r="AB146" s="10"/>
      <c r="AC146" s="10"/>
      <c r="AD146" s="10"/>
    </row>
    <row r="147" spans="12:30" x14ac:dyDescent="0.3">
      <c r="L147" s="9"/>
      <c r="M147" s="10"/>
      <c r="N147" s="10"/>
      <c r="O147" s="10"/>
      <c r="P147" s="10"/>
      <c r="Q147" s="10"/>
      <c r="Y147" s="9"/>
      <c r="Z147" s="10"/>
      <c r="AA147" s="10"/>
      <c r="AB147" s="10"/>
      <c r="AC147" s="10"/>
      <c r="AD147" s="10"/>
    </row>
    <row r="148" spans="12:30" x14ac:dyDescent="0.3">
      <c r="L148" s="9"/>
      <c r="M148" s="10"/>
      <c r="N148" s="10"/>
      <c r="O148" s="10"/>
      <c r="P148" s="10"/>
      <c r="Q148" s="10"/>
      <c r="Y148" s="9"/>
      <c r="Z148" s="10"/>
      <c r="AA148" s="10"/>
      <c r="AB148" s="10"/>
      <c r="AC148" s="10"/>
      <c r="AD148" s="10"/>
    </row>
    <row r="149" spans="12:30" x14ac:dyDescent="0.3">
      <c r="L149" s="9"/>
      <c r="M149" s="10"/>
      <c r="N149" s="10"/>
      <c r="O149" s="10"/>
      <c r="P149" s="10"/>
      <c r="Q149" s="10"/>
      <c r="Y149" s="9"/>
      <c r="Z149" s="10"/>
      <c r="AA149" s="10"/>
      <c r="AB149" s="10"/>
      <c r="AC149" s="10"/>
      <c r="AD149" s="10"/>
    </row>
    <row r="150" spans="12:30" x14ac:dyDescent="0.3">
      <c r="L150" s="9"/>
      <c r="M150" s="10"/>
      <c r="N150" s="10"/>
      <c r="O150" s="10"/>
      <c r="P150" s="10"/>
      <c r="Q150" s="10"/>
      <c r="Y150" s="9"/>
      <c r="Z150" s="10"/>
      <c r="AA150" s="10"/>
      <c r="AB150" s="10"/>
      <c r="AC150" s="10"/>
      <c r="AD150" s="10"/>
    </row>
    <row r="151" spans="12:30" x14ac:dyDescent="0.3">
      <c r="L151" s="9"/>
      <c r="M151" s="10"/>
      <c r="N151" s="10"/>
      <c r="O151" s="10"/>
      <c r="P151" s="10"/>
      <c r="Q151" s="10"/>
      <c r="Y151" s="9"/>
      <c r="Z151" s="10"/>
      <c r="AA151" s="10"/>
      <c r="AB151" s="10"/>
      <c r="AC151" s="10"/>
      <c r="AD151" s="10"/>
    </row>
    <row r="152" spans="12:30" x14ac:dyDescent="0.3">
      <c r="L152" s="9"/>
      <c r="M152" s="10"/>
      <c r="N152" s="10"/>
      <c r="O152" s="10"/>
      <c r="P152" s="10"/>
      <c r="Q152" s="10"/>
      <c r="Y152" s="9"/>
      <c r="Z152" s="10"/>
      <c r="AA152" s="10"/>
      <c r="AB152" s="10"/>
      <c r="AC152" s="10"/>
      <c r="AD152" s="10"/>
    </row>
    <row r="153" spans="12:30" x14ac:dyDescent="0.3">
      <c r="L153" s="9"/>
      <c r="M153" s="10"/>
      <c r="N153" s="10"/>
      <c r="O153" s="10"/>
      <c r="P153" s="10"/>
      <c r="Q153" s="10"/>
      <c r="Y153" s="9"/>
      <c r="Z153" s="10"/>
      <c r="AA153" s="10"/>
      <c r="AB153" s="10"/>
      <c r="AC153" s="10"/>
      <c r="AD153" s="10"/>
    </row>
    <row r="154" spans="12:30" x14ac:dyDescent="0.3">
      <c r="L154" s="9"/>
      <c r="M154" s="10"/>
      <c r="N154" s="10"/>
      <c r="O154" s="10"/>
      <c r="P154" s="10"/>
      <c r="Q154" s="10"/>
      <c r="Y154" s="9"/>
      <c r="Z154" s="10"/>
      <c r="AA154" s="10"/>
      <c r="AB154" s="10"/>
      <c r="AC154" s="10"/>
      <c r="AD154" s="10"/>
    </row>
    <row r="155" spans="12:30" x14ac:dyDescent="0.3">
      <c r="L155" s="9"/>
      <c r="M155" s="10"/>
      <c r="N155" s="10"/>
      <c r="O155" s="10"/>
      <c r="P155" s="10"/>
      <c r="Q155" s="10"/>
      <c r="Y155" s="9"/>
      <c r="Z155" s="10"/>
      <c r="AA155" s="10"/>
      <c r="AB155" s="10"/>
      <c r="AC155" s="10"/>
      <c r="AD155" s="10"/>
    </row>
    <row r="156" spans="12:30" x14ac:dyDescent="0.3">
      <c r="L156" s="9"/>
      <c r="M156" s="10"/>
      <c r="N156" s="10"/>
      <c r="O156" s="10"/>
      <c r="P156" s="10"/>
      <c r="Q156" s="10"/>
      <c r="Y156" s="9"/>
      <c r="Z156" s="10"/>
      <c r="AA156" s="10"/>
      <c r="AB156" s="10"/>
      <c r="AC156" s="10"/>
      <c r="AD156" s="10"/>
    </row>
    <row r="157" spans="12:30" x14ac:dyDescent="0.3">
      <c r="L157" s="9"/>
      <c r="M157" s="10"/>
      <c r="N157" s="10"/>
      <c r="O157" s="10"/>
      <c r="P157" s="10"/>
      <c r="Q157" s="10"/>
      <c r="Y157" s="9"/>
      <c r="Z157" s="10"/>
      <c r="AA157" s="10"/>
      <c r="AB157" s="10"/>
      <c r="AC157" s="10"/>
      <c r="AD157" s="10"/>
    </row>
    <row r="158" spans="12:30" x14ac:dyDescent="0.3">
      <c r="L158" s="9"/>
      <c r="M158" s="10"/>
      <c r="N158" s="10"/>
      <c r="O158" s="10"/>
      <c r="P158" s="10"/>
      <c r="Q158" s="10"/>
      <c r="Y158" s="9"/>
      <c r="Z158" s="10"/>
      <c r="AA158" s="10"/>
      <c r="AB158" s="10"/>
      <c r="AC158" s="10"/>
      <c r="AD158" s="10"/>
    </row>
    <row r="159" spans="12:30" x14ac:dyDescent="0.3">
      <c r="L159" s="9"/>
      <c r="M159" s="10"/>
      <c r="N159" s="10"/>
      <c r="O159" s="10"/>
      <c r="P159" s="10"/>
      <c r="Q159" s="10"/>
      <c r="Y159" s="9"/>
      <c r="Z159" s="10"/>
      <c r="AA159" s="10"/>
      <c r="AB159" s="10"/>
      <c r="AC159" s="10"/>
      <c r="AD159" s="10"/>
    </row>
    <row r="160" spans="12:30" x14ac:dyDescent="0.3">
      <c r="L160" s="9"/>
      <c r="M160" s="10"/>
      <c r="N160" s="10"/>
      <c r="O160" s="10"/>
      <c r="P160" s="10"/>
      <c r="Q160" s="10"/>
      <c r="Y160" s="9"/>
      <c r="Z160" s="10"/>
      <c r="AA160" s="10"/>
      <c r="AB160" s="10"/>
      <c r="AC160" s="10"/>
      <c r="AD160" s="10"/>
    </row>
    <row r="161" spans="12:30" x14ac:dyDescent="0.3">
      <c r="L161" s="9"/>
      <c r="M161" s="10"/>
      <c r="N161" s="10"/>
      <c r="O161" s="10"/>
      <c r="P161" s="10"/>
      <c r="Q161" s="10"/>
      <c r="Y161" s="9"/>
      <c r="Z161" s="10"/>
      <c r="AA161" s="10"/>
      <c r="AB161" s="10"/>
      <c r="AC161" s="10"/>
      <c r="AD161" s="10"/>
    </row>
    <row r="162" spans="12:30" x14ac:dyDescent="0.3">
      <c r="L162" s="9"/>
      <c r="M162" s="10"/>
      <c r="N162" s="10"/>
      <c r="O162" s="10"/>
      <c r="P162" s="10"/>
      <c r="Q162" s="10"/>
      <c r="Y162" s="9"/>
      <c r="Z162" s="10"/>
      <c r="AA162" s="10"/>
      <c r="AB162" s="10"/>
      <c r="AC162" s="10"/>
      <c r="AD162" s="10"/>
    </row>
    <row r="163" spans="12:30" x14ac:dyDescent="0.3">
      <c r="L163" s="9"/>
      <c r="M163" s="10"/>
      <c r="N163" s="10"/>
      <c r="O163" s="10"/>
      <c r="P163" s="10"/>
      <c r="Q163" s="10"/>
      <c r="Y163" s="9"/>
      <c r="Z163" s="10"/>
      <c r="AA163" s="10"/>
      <c r="AB163" s="10"/>
      <c r="AC163" s="10"/>
      <c r="AD163" s="10"/>
    </row>
    <row r="164" spans="12:30" x14ac:dyDescent="0.3">
      <c r="L164" s="9"/>
      <c r="M164" s="10"/>
      <c r="N164" s="10"/>
      <c r="O164" s="10"/>
      <c r="P164" s="10"/>
      <c r="Q164" s="10"/>
      <c r="Y164" s="9"/>
      <c r="Z164" s="10"/>
      <c r="AA164" s="10"/>
      <c r="AB164" s="10"/>
      <c r="AC164" s="10"/>
      <c r="AD164" s="10"/>
    </row>
    <row r="165" spans="12:30" x14ac:dyDescent="0.3">
      <c r="L165" s="9"/>
      <c r="M165" s="10"/>
      <c r="N165" s="10"/>
      <c r="O165" s="10"/>
      <c r="P165" s="10"/>
      <c r="Q165" s="10"/>
      <c r="Y165" s="9"/>
      <c r="Z165" s="10"/>
      <c r="AA165" s="10"/>
      <c r="AB165" s="10"/>
      <c r="AC165" s="10"/>
      <c r="AD165" s="10"/>
    </row>
    <row r="166" spans="12:30" x14ac:dyDescent="0.3">
      <c r="L166" s="9"/>
      <c r="M166" s="10"/>
      <c r="N166" s="10"/>
      <c r="O166" s="10"/>
      <c r="P166" s="10"/>
      <c r="Q166" s="10"/>
      <c r="Y166" s="9"/>
      <c r="Z166" s="10"/>
      <c r="AA166" s="10"/>
      <c r="AB166" s="10"/>
      <c r="AC166" s="10"/>
      <c r="AD166" s="10"/>
    </row>
    <row r="167" spans="12:30" x14ac:dyDescent="0.3">
      <c r="L167" s="9"/>
      <c r="Y167" s="9"/>
    </row>
    <row r="194" spans="12:25" x14ac:dyDescent="0.3">
      <c r="L194" s="9"/>
      <c r="Y194" s="9"/>
    </row>
  </sheetData>
  <mergeCells count="13">
    <mergeCell ref="S3:AD3"/>
    <mergeCell ref="B3:Q3"/>
    <mergeCell ref="B63:B65"/>
    <mergeCell ref="B67:B69"/>
    <mergeCell ref="B71:B73"/>
    <mergeCell ref="Q61:R61"/>
    <mergeCell ref="B90:B92"/>
    <mergeCell ref="B94:B96"/>
    <mergeCell ref="B75:B77"/>
    <mergeCell ref="AC5:AD5"/>
    <mergeCell ref="P5:Q5"/>
    <mergeCell ref="B82:B84"/>
    <mergeCell ref="B86:B8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F9F3-B41E-4414-A981-E21E443DD30F}">
  <dimension ref="B2:K33"/>
  <sheetViews>
    <sheetView workbookViewId="0">
      <selection activeCell="E18" sqref="E18"/>
    </sheetView>
  </sheetViews>
  <sheetFormatPr defaultColWidth="9.109375" defaultRowHeight="13.8" x14ac:dyDescent="0.3"/>
  <cols>
    <col min="1" max="2" width="9.109375" style="1"/>
    <col min="3" max="3" width="14" style="1" customWidth="1"/>
    <col min="4" max="4" width="11.5546875" style="1" bestFit="1" customWidth="1"/>
    <col min="5" max="5" width="18.44140625" style="1" customWidth="1"/>
    <col min="6" max="6" width="9.88671875" style="1" customWidth="1"/>
    <col min="7" max="7" width="10.5546875" style="1" customWidth="1"/>
    <col min="8" max="8" width="12.44140625" style="1" customWidth="1"/>
    <col min="9" max="9" width="12.6640625" style="1" customWidth="1"/>
    <col min="10" max="16384" width="9.109375" style="1"/>
  </cols>
  <sheetData>
    <row r="2" spans="2:9" x14ac:dyDescent="0.3">
      <c r="B2" s="54" t="s">
        <v>193</v>
      </c>
    </row>
    <row r="4" spans="2:9" ht="14.4" x14ac:dyDescent="0.3">
      <c r="B4" s="53" t="s">
        <v>194</v>
      </c>
      <c r="C4" s="55" t="s">
        <v>195</v>
      </c>
      <c r="D4" s="53"/>
      <c r="E4" s="53"/>
      <c r="F4" s="53"/>
      <c r="H4" s="45" t="s">
        <v>120</v>
      </c>
      <c r="I4" s="56" t="s">
        <v>195</v>
      </c>
    </row>
    <row r="5" spans="2:9" x14ac:dyDescent="0.3">
      <c r="B5" s="4"/>
      <c r="C5" s="4"/>
      <c r="D5" s="4"/>
      <c r="E5" s="4"/>
      <c r="F5" s="4"/>
    </row>
    <row r="6" spans="2:9" x14ac:dyDescent="0.3">
      <c r="B6" s="52">
        <v>1</v>
      </c>
      <c r="C6" s="51">
        <v>2</v>
      </c>
      <c r="D6" s="51">
        <v>3</v>
      </c>
      <c r="E6" s="51">
        <v>4</v>
      </c>
      <c r="F6" s="51">
        <v>5</v>
      </c>
      <c r="G6" s="1">
        <v>6</v>
      </c>
      <c r="H6" s="1">
        <v>7</v>
      </c>
      <c r="I6" s="1">
        <v>8</v>
      </c>
    </row>
    <row r="7" spans="2:9" s="46" customFormat="1" ht="27.6" x14ac:dyDescent="0.3">
      <c r="B7" s="47" t="s">
        <v>196</v>
      </c>
      <c r="C7" s="47" t="s">
        <v>197</v>
      </c>
      <c r="D7" s="47" t="s">
        <v>198</v>
      </c>
      <c r="E7" s="175" t="s">
        <v>199</v>
      </c>
      <c r="F7" s="175"/>
      <c r="G7" s="46" t="s">
        <v>200</v>
      </c>
      <c r="H7" s="47" t="s">
        <v>201</v>
      </c>
      <c r="I7" s="47" t="s">
        <v>202</v>
      </c>
    </row>
    <row r="8" spans="2:9" x14ac:dyDescent="0.3">
      <c r="B8" s="6"/>
      <c r="C8" s="6"/>
      <c r="D8" s="6"/>
      <c r="E8" s="48" t="s">
        <v>203</v>
      </c>
      <c r="F8" s="48" t="s">
        <v>204</v>
      </c>
      <c r="H8" s="3"/>
      <c r="I8" s="3"/>
    </row>
    <row r="9" spans="2:9" x14ac:dyDescent="0.3">
      <c r="B9" s="6"/>
      <c r="C9" s="6" t="s">
        <v>205</v>
      </c>
      <c r="D9" s="6" t="s">
        <v>206</v>
      </c>
      <c r="E9" s="6" t="s">
        <v>207</v>
      </c>
      <c r="F9" s="6" t="s">
        <v>208</v>
      </c>
      <c r="H9" s="6" t="s">
        <v>208</v>
      </c>
      <c r="I9" s="6" t="s">
        <v>207</v>
      </c>
    </row>
    <row r="10" spans="2:9" x14ac:dyDescent="0.3">
      <c r="B10" s="6" t="s">
        <v>209</v>
      </c>
      <c r="C10" s="6" t="s">
        <v>210</v>
      </c>
      <c r="D10" s="6">
        <v>1</v>
      </c>
      <c r="E10" s="57">
        <f>19.729/100</f>
        <v>0.19728999999999999</v>
      </c>
      <c r="F10" s="7">
        <v>3.35</v>
      </c>
      <c r="H10" s="7">
        <v>7.34</v>
      </c>
      <c r="I10" s="8">
        <f>7.071/100</f>
        <v>7.0709999999999995E-2</v>
      </c>
    </row>
    <row r="11" spans="2:9" x14ac:dyDescent="0.3">
      <c r="B11" s="6" t="s">
        <v>211</v>
      </c>
      <c r="C11" s="6" t="s">
        <v>210</v>
      </c>
      <c r="D11" s="6">
        <v>2</v>
      </c>
      <c r="E11" s="57">
        <f t="shared" ref="E11:E16" si="0">19.729/100</f>
        <v>0.19728999999999999</v>
      </c>
      <c r="F11" s="7">
        <v>4.29</v>
      </c>
      <c r="H11" s="7">
        <v>8.61</v>
      </c>
      <c r="I11" s="8">
        <f>7.071/100</f>
        <v>7.0709999999999995E-2</v>
      </c>
    </row>
    <row r="12" spans="2:9" x14ac:dyDescent="0.3">
      <c r="B12" s="6" t="s">
        <v>212</v>
      </c>
      <c r="C12" s="6" t="s">
        <v>213</v>
      </c>
      <c r="D12" s="6">
        <v>1</v>
      </c>
      <c r="E12" s="57">
        <f t="shared" si="0"/>
        <v>0.19728999999999999</v>
      </c>
      <c r="F12" s="7">
        <v>5.49</v>
      </c>
      <c r="H12" s="7">
        <v>15.93</v>
      </c>
      <c r="I12" s="8">
        <f>5.809/100</f>
        <v>5.8090000000000003E-2</v>
      </c>
    </row>
    <row r="13" spans="2:9" x14ac:dyDescent="0.3">
      <c r="B13" s="6" t="s">
        <v>214</v>
      </c>
      <c r="C13" s="6" t="s">
        <v>213</v>
      </c>
      <c r="D13" s="6">
        <v>2</v>
      </c>
      <c r="E13" s="57">
        <f t="shared" si="0"/>
        <v>0.19728999999999999</v>
      </c>
      <c r="F13" s="7">
        <v>6.3</v>
      </c>
      <c r="H13" s="7">
        <v>18.22</v>
      </c>
      <c r="I13" s="8">
        <f>5.809/100</f>
        <v>5.8090000000000003E-2</v>
      </c>
    </row>
    <row r="14" spans="2:9" x14ac:dyDescent="0.3">
      <c r="B14" s="6" t="s">
        <v>215</v>
      </c>
      <c r="C14" s="6" t="s">
        <v>216</v>
      </c>
      <c r="D14" s="6">
        <v>6</v>
      </c>
      <c r="E14" s="57">
        <f t="shared" si="0"/>
        <v>0.19728999999999999</v>
      </c>
      <c r="F14" s="7">
        <v>6.4</v>
      </c>
      <c r="H14" s="7">
        <v>51.8</v>
      </c>
      <c r="I14" s="8">
        <f>5.399/100</f>
        <v>5.3990000000000003E-2</v>
      </c>
    </row>
    <row r="15" spans="2:9" x14ac:dyDescent="0.3">
      <c r="B15" s="6" t="s">
        <v>217</v>
      </c>
      <c r="C15" s="6" t="s">
        <v>216</v>
      </c>
      <c r="D15" s="6">
        <v>9</v>
      </c>
      <c r="E15" s="57">
        <f t="shared" si="0"/>
        <v>0.19728999999999999</v>
      </c>
      <c r="F15" s="7">
        <v>8.02</v>
      </c>
      <c r="H15" s="7">
        <v>55.71</v>
      </c>
      <c r="I15" s="8">
        <f>5.399/100</f>
        <v>5.3990000000000003E-2</v>
      </c>
    </row>
    <row r="16" spans="2:9" x14ac:dyDescent="0.3">
      <c r="B16" s="6" t="s">
        <v>218</v>
      </c>
      <c r="C16" s="6" t="s">
        <v>219</v>
      </c>
      <c r="D16" s="6">
        <v>12</v>
      </c>
      <c r="E16" s="57">
        <f t="shared" si="0"/>
        <v>0.19728999999999999</v>
      </c>
      <c r="F16" s="7">
        <v>16.11</v>
      </c>
      <c r="H16" s="7">
        <v>255.42</v>
      </c>
      <c r="I16" s="8">
        <f>5.383/100</f>
        <v>5.3830000000000003E-2</v>
      </c>
    </row>
    <row r="17" spans="2:11" x14ac:dyDescent="0.3">
      <c r="B17" s="52"/>
      <c r="C17" s="51"/>
      <c r="D17" s="51"/>
      <c r="E17" s="51"/>
      <c r="F17" s="51"/>
    </row>
    <row r="18" spans="2:1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x14ac:dyDescent="0.3">
      <c r="B19" s="4"/>
      <c r="C19" s="4"/>
      <c r="E19" s="4"/>
      <c r="F19" s="4"/>
      <c r="G19" s="4"/>
      <c r="H19" s="4"/>
      <c r="I19" s="4"/>
      <c r="J19" s="4"/>
      <c r="K19" s="4"/>
    </row>
    <row r="20" spans="2:11" ht="27.6" x14ac:dyDescent="0.3">
      <c r="B20" s="4"/>
      <c r="C20" s="49" t="s">
        <v>220</v>
      </c>
      <c r="D20" s="50" t="s">
        <v>221</v>
      </c>
      <c r="E20" s="4" t="s">
        <v>222</v>
      </c>
      <c r="F20" s="4"/>
      <c r="G20" s="4"/>
      <c r="H20" s="4"/>
      <c r="I20" s="4"/>
      <c r="J20" s="4"/>
      <c r="K20" s="4"/>
    </row>
    <row r="21" spans="2:11" x14ac:dyDescent="0.3">
      <c r="B21" s="4"/>
      <c r="C21" s="4"/>
      <c r="D21" s="64">
        <v>10.972</v>
      </c>
      <c r="E21" s="4" t="s">
        <v>223</v>
      </c>
      <c r="F21" s="4"/>
      <c r="G21" s="4"/>
      <c r="H21" s="4"/>
      <c r="I21" s="4"/>
      <c r="J21" s="4"/>
      <c r="K21" s="4"/>
    </row>
    <row r="22" spans="2:11" x14ac:dyDescent="0.3">
      <c r="B22" s="4"/>
      <c r="C22" s="4"/>
      <c r="E22" s="44" t="s">
        <v>224</v>
      </c>
      <c r="F22" s="4"/>
      <c r="G22" s="4"/>
      <c r="H22" s="4"/>
      <c r="I22" s="4"/>
      <c r="J22" s="4"/>
      <c r="K22" s="4"/>
    </row>
    <row r="25" spans="2:11" x14ac:dyDescent="0.3">
      <c r="C25" s="1" t="s">
        <v>225</v>
      </c>
      <c r="E25" s="59">
        <f>Budynek!C6+Budynek!C10</f>
        <v>11970.930232558139</v>
      </c>
      <c r="F25" s="1" t="s">
        <v>75</v>
      </c>
    </row>
    <row r="26" spans="2:11" x14ac:dyDescent="0.3">
      <c r="C26" s="1" t="s">
        <v>29</v>
      </c>
      <c r="E26" s="43">
        <v>0.94</v>
      </c>
      <c r="G26" s="43">
        <v>0.86</v>
      </c>
    </row>
    <row r="27" spans="2:11" x14ac:dyDescent="0.3">
      <c r="E27" s="59">
        <f>E25/E26</f>
        <v>12735.032162295895</v>
      </c>
      <c r="F27" s="1" t="s">
        <v>75</v>
      </c>
      <c r="G27" s="59">
        <f>E25/G26</f>
        <v>13919.68631692807</v>
      </c>
    </row>
    <row r="28" spans="2:11" x14ac:dyDescent="0.3">
      <c r="C28" s="1" t="s">
        <v>25</v>
      </c>
      <c r="E28" s="59">
        <f>E27/D21</f>
        <v>1160.684666632874</v>
      </c>
      <c r="F28" s="1" t="s">
        <v>226</v>
      </c>
      <c r="G28" s="59">
        <f>G27/D21</f>
        <v>1268.6553332963972</v>
      </c>
    </row>
    <row r="29" spans="2:11" x14ac:dyDescent="0.3">
      <c r="C29" s="1" t="s">
        <v>28</v>
      </c>
      <c r="E29" s="60" t="str">
        <f>IF(E28&lt;300,B10,IF(E28&lt;1200,B12,IF(E28&lt;8000,B14,B16)))</f>
        <v>W-2.1</v>
      </c>
      <c r="G29" s="60" t="str">
        <f>IF(G28&lt;300,B10,IF(G28&lt;1200,B12,IF(G28&lt;8000,B14,B16)))</f>
        <v>W-3.6</v>
      </c>
    </row>
    <row r="30" spans="2:11" x14ac:dyDescent="0.3">
      <c r="H30" s="43">
        <v>0.23</v>
      </c>
    </row>
    <row r="31" spans="2:11" x14ac:dyDescent="0.3">
      <c r="C31" s="19" t="s">
        <v>227</v>
      </c>
      <c r="E31" s="1" t="s">
        <v>181</v>
      </c>
      <c r="F31" s="1" t="s">
        <v>183</v>
      </c>
      <c r="G31" s="1" t="s">
        <v>228</v>
      </c>
      <c r="H31" s="1" t="s">
        <v>229</v>
      </c>
      <c r="I31" s="1" t="s">
        <v>230</v>
      </c>
    </row>
    <row r="32" spans="2:11" x14ac:dyDescent="0.3">
      <c r="C32" s="1" t="s">
        <v>231</v>
      </c>
      <c r="E32" s="39">
        <f>VLOOKUP(E29,B10:I16,8,0)*E27+VLOOKUP(E29,B10:I16,7,0)*12</f>
        <v>930.93801830776852</v>
      </c>
      <c r="F32" s="39">
        <f>VLOOKUP(E29,B10:I16,4,0)*E27+VLOOKUP(E29,B10:I16,5,0)*12</f>
        <v>2578.374495299357</v>
      </c>
      <c r="G32" s="41">
        <f>E32+F32</f>
        <v>3509.3125136071258</v>
      </c>
      <c r="H32" s="41">
        <f>G32*(1+$H$30)</f>
        <v>4316.4543917367646</v>
      </c>
      <c r="I32" s="42">
        <f>H32/E27</f>
        <v>0.33894334436911122</v>
      </c>
    </row>
    <row r="33" spans="3:9" x14ac:dyDescent="0.3">
      <c r="C33" s="1" t="s">
        <v>23</v>
      </c>
      <c r="E33" s="39">
        <f>VLOOKUP(G29,B10:I16,8,0)*G27+VLOOKUP(G29,B10:I16,7,0)*12</f>
        <v>1373.1238642509466</v>
      </c>
      <c r="F33" s="39">
        <f>VLOOKUP(G29,B10:I16,4,0)*G27+VLOOKUP(G29,B10:I16,5,0)*12</f>
        <v>2823.014913466739</v>
      </c>
      <c r="G33" s="41">
        <f>E33+F33</f>
        <v>4196.138777717686</v>
      </c>
      <c r="H33" s="41">
        <f>G33*(1+$H$30)</f>
        <v>5161.2506965927541</v>
      </c>
      <c r="I33" s="42">
        <f>H33/G27</f>
        <v>0.37078785966002925</v>
      </c>
    </row>
  </sheetData>
  <mergeCells count="1">
    <mergeCell ref="E7:F7"/>
  </mergeCells>
  <hyperlinks>
    <hyperlink ref="E22" r:id="rId1" xr:uid="{B1B020C1-80D9-4D03-BCC4-F4BF191AEA67}"/>
    <hyperlink ref="C4" r:id="rId2" xr:uid="{85F62094-98F4-4FAF-8E5E-9765EAD0B0F8}"/>
    <hyperlink ref="I4" r:id="rId3" xr:uid="{38463AD8-3824-4A8B-BDF7-689FC24F38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Kalkulacja</vt:lpstr>
      <vt:lpstr>Budynek</vt:lpstr>
      <vt:lpstr>Taryfy Tauron 2026</vt:lpstr>
      <vt:lpstr>Paliwa</vt:lpstr>
      <vt:lpstr>Energia</vt:lpstr>
      <vt:lpstr>Tauron 2026</vt:lpstr>
      <vt:lpstr>PGNiG 2026</vt:lpstr>
      <vt:lpstr>Kalkulacja!Obszar_wydruku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Pantera, Dawid</cp:lastModifiedBy>
  <cp:revision/>
  <dcterms:created xsi:type="dcterms:W3CDTF">2025-12-22T07:22:29Z</dcterms:created>
  <dcterms:modified xsi:type="dcterms:W3CDTF">2026-02-27T09:57:55Z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864bb8-b671-4bed-ba85-9478127ab5e9_Enabled">
    <vt:lpwstr>true</vt:lpwstr>
  </property>
  <property fmtid="{D5CDD505-2E9C-101B-9397-08002B2CF9AE}" pid="3" name="MSIP_Label_b7864bb8-b671-4bed-ba85-9478127ab5e9_SetDate">
    <vt:lpwstr>2025-12-22T07:22:46Z</vt:lpwstr>
  </property>
  <property fmtid="{D5CDD505-2E9C-101B-9397-08002B2CF9AE}" pid="4" name="MSIP_Label_b7864bb8-b671-4bed-ba85-9478127ab5e9_Method">
    <vt:lpwstr>Standard</vt:lpwstr>
  </property>
  <property fmtid="{D5CDD505-2E9C-101B-9397-08002B2CF9AE}" pid="5" name="MSIP_Label_b7864bb8-b671-4bed-ba85-9478127ab5e9_Name">
    <vt:lpwstr>Confidential – 2023</vt:lpwstr>
  </property>
  <property fmtid="{D5CDD505-2E9C-101B-9397-08002B2CF9AE}" pid="6" name="MSIP_Label_b7864bb8-b671-4bed-ba85-9478127ab5e9_SiteId">
    <vt:lpwstr>36839a65-7f3f-4bac-9ea4-f571f10a9a03</vt:lpwstr>
  </property>
  <property fmtid="{D5CDD505-2E9C-101B-9397-08002B2CF9AE}" pid="7" name="MSIP_Label_b7864bb8-b671-4bed-ba85-9478127ab5e9_ActionId">
    <vt:lpwstr>01478a59-b779-4c63-94a8-578689d31a29</vt:lpwstr>
  </property>
  <property fmtid="{D5CDD505-2E9C-101B-9397-08002B2CF9AE}" pid="8" name="MSIP_Label_b7864bb8-b671-4bed-ba85-9478127ab5e9_ContentBits">
    <vt:lpwstr>0</vt:lpwstr>
  </property>
  <property fmtid="{D5CDD505-2E9C-101B-9397-08002B2CF9AE}" pid="9" name="MSIP_Label_b7864bb8-b671-4bed-ba85-9478127ab5e9_Tag">
    <vt:lpwstr>10, 3, 0, 2</vt:lpwstr>
  </property>
</Properties>
</file>